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BB9A3502-5D2C-4101-AACA-C0995476F3B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Months" sheetId="3" r:id="rId3"/>
    <sheet name="Results" sheetId="4" r:id="rId4"/>
    <sheet name="ModelRiskDSN" sheetId="5" state="hidden" r:id="rId5"/>
    <sheet name="ModelRiskSYS1" sheetId="6" state="hidden" r:id="rId6"/>
    <sheet name="ModelRiskCharts" sheetId="7" state="hidden" r:id="rId7"/>
  </sheets>
  <definedNames>
    <definedName name="Breakthrough">Months!$F$8</definedName>
    <definedName name="Checks">Months!$F$127:$F$128</definedName>
    <definedName name="Earliest">Inputs!$D$17</definedName>
    <definedName name="ExpDeaths">Months!$C$14:$C$113</definedName>
    <definedName name="ExpWithout">Months!$F$122</definedName>
    <definedName name="Increase">Inputs!$D$12</definedName>
    <definedName name="Latest">Inputs!$D$18</definedName>
    <definedName name="Prevented">Inputs!$D$19</definedName>
    <definedName name="_xlnm.Print_Area" localSheetId="3">Results!$A$1:$R$45</definedName>
    <definedName name="_xlnm.Print_Titles" localSheetId="1">Inputs!$1:$4</definedName>
    <definedName name="_xlnm.Print_Titles" localSheetId="3">Results!$1:$4</definedName>
    <definedName name="Rate0">Inputs!$D$11</definedName>
    <definedName name="Saved">Months!$F$121</definedName>
    <definedName name="SavedPerMonth">Months!$F$123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With">Months!$F$120</definedName>
    <definedName name="TotWithout">Months!$F$119</definedName>
    <definedName name="With_1">Months!$F$14</definedName>
    <definedName name="With_10">Months!$F$23</definedName>
    <definedName name="With_100">Months!$F$113</definedName>
    <definedName name="With_11">Months!$F$24</definedName>
    <definedName name="With_12">Months!$F$25</definedName>
    <definedName name="With_13">Months!$F$26</definedName>
    <definedName name="With_14">Months!$F$27</definedName>
    <definedName name="With_15">Months!$F$28</definedName>
    <definedName name="With_16">Months!$F$29</definedName>
    <definedName name="With_17">Months!$F$30</definedName>
    <definedName name="With_18">Months!$F$31</definedName>
    <definedName name="With_19">Months!$F$32</definedName>
    <definedName name="With_2">Months!$F$15</definedName>
    <definedName name="With_20">Months!$F$33</definedName>
    <definedName name="With_21">Months!$F$34</definedName>
    <definedName name="With_22">Months!$F$35</definedName>
    <definedName name="With_23">Months!$F$36</definedName>
    <definedName name="With_24">Months!$F$37</definedName>
    <definedName name="With_25">Months!$F$38</definedName>
    <definedName name="With_26">Months!$F$39</definedName>
    <definedName name="With_27">Months!$F$40</definedName>
    <definedName name="With_28">Months!$F$41</definedName>
    <definedName name="With_29">Months!$F$42</definedName>
    <definedName name="With_3">Months!$F$16</definedName>
    <definedName name="With_30">Months!$F$43</definedName>
    <definedName name="With_31">Months!$F$44</definedName>
    <definedName name="With_32">Months!$F$45</definedName>
    <definedName name="With_33">Months!$F$46</definedName>
    <definedName name="With_34">Months!$F$47</definedName>
    <definedName name="With_35">Months!$F$48</definedName>
    <definedName name="With_36">Months!$F$49</definedName>
    <definedName name="With_37">Months!$F$50</definedName>
    <definedName name="With_38">Months!$F$51</definedName>
    <definedName name="With_39">Months!$F$52</definedName>
    <definedName name="With_4">Months!$F$17</definedName>
    <definedName name="With_40">Months!$F$53</definedName>
    <definedName name="With_41">Months!$F$54</definedName>
    <definedName name="With_42">Months!$F$55</definedName>
    <definedName name="With_43">Months!$F$56</definedName>
    <definedName name="With_44">Months!$F$57</definedName>
    <definedName name="With_45">Months!$F$58</definedName>
    <definedName name="With_46">Months!$F$59</definedName>
    <definedName name="With_47">Months!$F$60</definedName>
    <definedName name="With_48">Months!$F$61</definedName>
    <definedName name="With_49">Months!$F$62</definedName>
    <definedName name="With_5">Months!$F$18</definedName>
    <definedName name="With_50">Months!$F$63</definedName>
    <definedName name="With_51">Months!$F$64</definedName>
    <definedName name="With_52">Months!$F$65</definedName>
    <definedName name="With_53">Months!$F$66</definedName>
    <definedName name="With_54">Months!$F$67</definedName>
    <definedName name="With_55">Months!$F$68</definedName>
    <definedName name="With_56">Months!$F$69</definedName>
    <definedName name="With_57">Months!$F$70</definedName>
    <definedName name="With_58">Months!$F$71</definedName>
    <definedName name="With_59">Months!$F$72</definedName>
    <definedName name="With_6">Months!$F$19</definedName>
    <definedName name="With_60">Months!$F$73</definedName>
    <definedName name="With_61">Months!$F$74</definedName>
    <definedName name="With_62">Months!$F$75</definedName>
    <definedName name="With_63">Months!$F$76</definedName>
    <definedName name="With_64">Months!$F$77</definedName>
    <definedName name="With_65">Months!$F$78</definedName>
    <definedName name="With_66">Months!$F$79</definedName>
    <definedName name="With_67">Months!$F$80</definedName>
    <definedName name="With_68">Months!$F$81</definedName>
    <definedName name="With_69">Months!$F$82</definedName>
    <definedName name="With_7">Months!$F$20</definedName>
    <definedName name="With_70">Months!$F$83</definedName>
    <definedName name="With_71">Months!$F$84</definedName>
    <definedName name="With_72">Months!$F$85</definedName>
    <definedName name="With_73">Months!$F$86</definedName>
    <definedName name="With_74">Months!$F$87</definedName>
    <definedName name="With_75">Months!$F$88</definedName>
    <definedName name="With_76">Months!$F$89</definedName>
    <definedName name="With_77">Months!$F$90</definedName>
    <definedName name="With_78">Months!$F$91</definedName>
    <definedName name="With_79">Months!$F$92</definedName>
    <definedName name="With_8">Months!$F$21</definedName>
    <definedName name="With_80">Months!$F$93</definedName>
    <definedName name="With_81">Months!$F$94</definedName>
    <definedName name="With_82">Months!$F$95</definedName>
    <definedName name="With_83">Months!$F$96</definedName>
    <definedName name="With_84">Months!$F$97</definedName>
    <definedName name="With_85">Months!$F$98</definedName>
    <definedName name="With_86">Months!$F$99</definedName>
    <definedName name="With_87">Months!$F$100</definedName>
    <definedName name="With_88">Months!$F$101</definedName>
    <definedName name="With_89">Months!$F$102</definedName>
    <definedName name="With_9">Months!$F$22</definedName>
    <definedName name="With_90">Months!$F$103</definedName>
    <definedName name="With_91">Months!$F$104</definedName>
    <definedName name="With_92">Months!$F$105</definedName>
    <definedName name="With_93">Months!$F$106</definedName>
    <definedName name="With_94">Months!$F$107</definedName>
    <definedName name="With_95">Months!$F$108</definedName>
    <definedName name="With_96">Months!$F$109</definedName>
    <definedName name="With_97">Months!$F$110</definedName>
    <definedName name="With_98">Months!$F$111</definedName>
    <definedName name="With_99">Months!$F$112</definedName>
    <definedName name="Without_1">Months!$E$14</definedName>
    <definedName name="Without_10">Months!$E$23</definedName>
    <definedName name="Without_100">Months!$E$113</definedName>
    <definedName name="Without_11">Months!$E$24</definedName>
    <definedName name="Without_12">Months!$E$25</definedName>
    <definedName name="Without_13">Months!$E$26</definedName>
    <definedName name="Without_14">Months!$E$27</definedName>
    <definedName name="Without_15">Months!$E$28</definedName>
    <definedName name="Without_16">Months!$E$29</definedName>
    <definedName name="Without_17">Months!$E$30</definedName>
    <definedName name="Without_18">Months!$E$31</definedName>
    <definedName name="Without_19">Months!$E$32</definedName>
    <definedName name="Without_2">Months!$E$15</definedName>
    <definedName name="Without_20">Months!$E$33</definedName>
    <definedName name="Without_21">Months!$E$34</definedName>
    <definedName name="Without_22">Months!$E$35</definedName>
    <definedName name="Without_23">Months!$E$36</definedName>
    <definedName name="Without_24">Months!$E$37</definedName>
    <definedName name="Without_25">Months!$E$38</definedName>
    <definedName name="Without_26">Months!$E$39</definedName>
    <definedName name="Without_27">Months!$E$40</definedName>
    <definedName name="Without_28">Months!$E$41</definedName>
    <definedName name="Without_29">Months!$E$42</definedName>
    <definedName name="Without_3">Months!$E$16</definedName>
    <definedName name="Without_30">Months!$E$43</definedName>
    <definedName name="Without_31">Months!$E$44</definedName>
    <definedName name="Without_32">Months!$E$45</definedName>
    <definedName name="Without_33">Months!$E$46</definedName>
    <definedName name="Without_34">Months!$E$47</definedName>
    <definedName name="Without_35">Months!$E$48</definedName>
    <definedName name="Without_36">Months!$E$49</definedName>
    <definedName name="Without_37">Months!$E$50</definedName>
    <definedName name="Without_38">Months!$E$51</definedName>
    <definedName name="Without_39">Months!$E$52</definedName>
    <definedName name="Without_4">Months!$E$17</definedName>
    <definedName name="Without_40">Months!$E$53</definedName>
    <definedName name="Without_41">Months!$E$54</definedName>
    <definedName name="Without_42">Months!$E$55</definedName>
    <definedName name="Without_43">Months!$E$56</definedName>
    <definedName name="Without_44">Months!$E$57</definedName>
    <definedName name="Without_45">Months!$E$58</definedName>
    <definedName name="Without_46">Months!$E$59</definedName>
    <definedName name="Without_47">Months!$E$60</definedName>
    <definedName name="Without_48">Months!$E$61</definedName>
    <definedName name="Without_49">Months!$E$62</definedName>
    <definedName name="Without_5">Months!$E$18</definedName>
    <definedName name="Without_50">Months!$E$63</definedName>
    <definedName name="Without_51">Months!$E$64</definedName>
    <definedName name="Without_52">Months!$E$65</definedName>
    <definedName name="Without_53">Months!$E$66</definedName>
    <definedName name="Without_54">Months!$E$67</definedName>
    <definedName name="Without_55">Months!$E$68</definedName>
    <definedName name="Without_56">Months!$E$69</definedName>
    <definedName name="Without_57">Months!$E$70</definedName>
    <definedName name="Without_58">Months!$E$71</definedName>
    <definedName name="Without_59">Months!$E$72</definedName>
    <definedName name="Without_6">Months!$E$19</definedName>
    <definedName name="Without_60">Months!$E$73</definedName>
    <definedName name="Without_61">Months!$E$74</definedName>
    <definedName name="Without_62">Months!$E$75</definedName>
    <definedName name="Without_63">Months!$E$76</definedName>
    <definedName name="Without_64">Months!$E$77</definedName>
    <definedName name="Without_65">Months!$E$78</definedName>
    <definedName name="Without_66">Months!$E$79</definedName>
    <definedName name="Without_67">Months!$E$80</definedName>
    <definedName name="Without_68">Months!$E$81</definedName>
    <definedName name="Without_69">Months!$E$82</definedName>
    <definedName name="Without_7">Months!$E$20</definedName>
    <definedName name="Without_70">Months!$E$83</definedName>
    <definedName name="Without_71">Months!$E$84</definedName>
    <definedName name="Without_72">Months!$E$85</definedName>
    <definedName name="Without_73">Months!$E$86</definedName>
    <definedName name="Without_74">Months!$E$87</definedName>
    <definedName name="Without_75">Months!$E$88</definedName>
    <definedName name="Without_76">Months!$E$89</definedName>
    <definedName name="Without_77">Months!$E$90</definedName>
    <definedName name="Without_78">Months!$E$91</definedName>
    <definedName name="Without_79">Months!$E$92</definedName>
    <definedName name="Without_8">Months!$E$21</definedName>
    <definedName name="Without_80">Months!$E$93</definedName>
    <definedName name="Without_81">Months!$E$94</definedName>
    <definedName name="Without_82">Months!$E$95</definedName>
    <definedName name="Without_83">Months!$E$96</definedName>
    <definedName name="Without_84">Months!$E$97</definedName>
    <definedName name="Without_85">Months!$E$98</definedName>
    <definedName name="Without_86">Months!$E$99</definedName>
    <definedName name="Without_87">Months!$E$100</definedName>
    <definedName name="Without_88">Months!$E$101</definedName>
    <definedName name="Without_89">Months!$E$102</definedName>
    <definedName name="Without_9">Months!$E$22</definedName>
    <definedName name="Without_90">Months!$E$103</definedName>
    <definedName name="Without_91">Months!$E$104</definedName>
    <definedName name="Without_92">Months!$E$105</definedName>
    <definedName name="Without_93">Months!$E$106</definedName>
    <definedName name="Without_94">Months!$E$107</definedName>
    <definedName name="Without_95">Months!$E$108</definedName>
    <definedName name="Without_96">Months!$E$109</definedName>
    <definedName name="Without_97">Months!$E$110</definedName>
    <definedName name="Without_98">Months!$E$111</definedName>
    <definedName name="Without_99">Months!$E$112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7" i="3" l="1"/>
  <c r="F123" i="3"/>
  <c r="D15" i="4" s="1"/>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E103" i="3" a="1"/>
  <c r="E96" i="3" a="1"/>
  <c r="E91" i="3" a="1"/>
  <c r="E68" i="3" a="1"/>
  <c r="E70" i="3" a="1"/>
  <c r="E111" i="3" a="1"/>
  <c r="E76" i="3" a="1"/>
  <c r="E55" i="3" a="1"/>
  <c r="E21" i="3" a="1"/>
  <c r="E58" i="3" a="1"/>
  <c r="E22" i="3" a="1"/>
  <c r="E43" i="3" a="1"/>
  <c r="E69" i="3" a="1"/>
  <c r="E94" i="3" a="1"/>
  <c r="E89" i="3" a="1"/>
  <c r="E82" i="3" a="1"/>
  <c r="E61" i="3" a="1"/>
  <c r="E63" i="3" a="1"/>
  <c r="E106" i="3" a="1"/>
  <c r="E83" i="3" a="1"/>
  <c r="E35" i="3" a="1"/>
  <c r="E74" i="3" a="1"/>
  <c r="E54" i="3" a="1"/>
  <c r="E14" i="3" a="1"/>
  <c r="E27" i="3" a="1"/>
  <c r="E47" i="3" a="1"/>
  <c r="E87" i="3" a="1"/>
  <c r="E80" i="3" a="1"/>
  <c r="E75" i="3" a="1"/>
  <c r="E112" i="3" a="1"/>
  <c r="E97" i="3" a="1"/>
  <c r="E99" i="3" a="1"/>
  <c r="E67" i="3" a="1"/>
  <c r="E19" i="3" a="1"/>
  <c r="E48" i="3" a="1"/>
  <c r="E46" i="3" a="1"/>
  <c r="E53" i="3" a="1"/>
  <c r="E49" i="3" a="1"/>
  <c r="E31" i="3" a="1"/>
  <c r="E71" i="3" a="1"/>
  <c r="E64" i="3" a="1"/>
  <c r="E100" i="3" a="1"/>
  <c r="E102" i="3" a="1"/>
  <c r="E72" i="3" a="1"/>
  <c r="E108" i="3" a="1"/>
  <c r="E56" i="3" a="1"/>
  <c r="E18" i="3" a="1"/>
  <c r="E24" i="3" a="1"/>
  <c r="E38" i="3" a="1"/>
  <c r="E29" i="3" a="1"/>
  <c r="E52" i="3" a="1"/>
  <c r="E78" i="3" a="1"/>
  <c r="E66" i="3" a="1"/>
  <c r="E88" i="3" a="1"/>
  <c r="E59" i="3" a="1"/>
  <c r="E36" i="3" a="1"/>
  <c r="E41" i="3" a="1"/>
  <c r="E15" i="3" a="1"/>
  <c r="E62" i="3" a="1"/>
  <c r="E93" i="3" a="1"/>
  <c r="E104" i="3" a="1"/>
  <c r="E44" i="3" a="1"/>
  <c r="E60" i="3" a="1"/>
  <c r="E25" i="3" a="1"/>
  <c r="E110" i="3" a="1"/>
  <c r="E84" i="3" a="1"/>
  <c r="E81" i="3" a="1"/>
  <c r="E28" i="3" a="1"/>
  <c r="E39" i="3" a="1"/>
  <c r="E17" i="3" a="1"/>
  <c r="E105" i="3" a="1"/>
  <c r="E77" i="3" a="1"/>
  <c r="E65" i="3" a="1"/>
  <c r="E16" i="3" a="1"/>
  <c r="E23" i="3" a="1"/>
  <c r="E73" i="3" a="1"/>
  <c r="E109" i="3" a="1"/>
  <c r="E90" i="3" a="1"/>
  <c r="E50" i="3" a="1"/>
  <c r="E42" i="3" a="1"/>
  <c r="E37" i="3" a="1"/>
  <c r="E95" i="3" a="1"/>
  <c r="E101" i="3" a="1"/>
  <c r="E57" i="3" a="1"/>
  <c r="E34" i="3" a="1"/>
  <c r="E40" i="3" a="1"/>
  <c r="F8" i="3" a="1"/>
  <c r="E107" i="3" a="1"/>
  <c r="E86" i="3" a="1"/>
  <c r="E92" i="3" a="1"/>
  <c r="E45" i="3" a="1"/>
  <c r="E30" i="3" a="1"/>
  <c r="E32" i="3" a="1"/>
  <c r="E113" i="3" a="1"/>
  <c r="E98" i="3" a="1"/>
  <c r="E79" i="3" a="1"/>
  <c r="E85" i="3" a="1"/>
  <c r="E33" i="3" a="1"/>
  <c r="E26" i="3" a="1"/>
  <c r="E20" i="3" a="1"/>
  <c r="E51" i="3" a="1"/>
  <c r="F122" i="3" l="1"/>
  <c r="D12" i="4" s="1"/>
  <c r="E51" i="3"/>
  <c r="E20" i="3"/>
  <c r="E26" i="3"/>
  <c r="E33" i="3"/>
  <c r="E85" i="3"/>
  <c r="E79" i="3"/>
  <c r="E98" i="3"/>
  <c r="E113" i="3"/>
  <c r="E32" i="3"/>
  <c r="E30" i="3"/>
  <c r="E45" i="3"/>
  <c r="E92" i="3"/>
  <c r="E86" i="3"/>
  <c r="E107" i="3"/>
  <c r="F8" i="3"/>
  <c r="E40" i="3"/>
  <c r="E34" i="3"/>
  <c r="E57" i="3"/>
  <c r="E101" i="3"/>
  <c r="E95" i="3"/>
  <c r="E37" i="3"/>
  <c r="E42" i="3"/>
  <c r="E50" i="3"/>
  <c r="E90" i="3"/>
  <c r="E109" i="3"/>
  <c r="E73" i="3"/>
  <c r="E23" i="3"/>
  <c r="E16" i="3"/>
  <c r="E65" i="3"/>
  <c r="E77" i="3"/>
  <c r="E105" i="3"/>
  <c r="E17" i="3"/>
  <c r="E39" i="3"/>
  <c r="E28" i="3"/>
  <c r="E81" i="3"/>
  <c r="E84" i="3"/>
  <c r="E110" i="3"/>
  <c r="E25" i="3"/>
  <c r="E60" i="3"/>
  <c r="E44" i="3"/>
  <c r="E104" i="3"/>
  <c r="E93" i="3"/>
  <c r="E62" i="3"/>
  <c r="E15" i="3"/>
  <c r="E41" i="3"/>
  <c r="E36" i="3"/>
  <c r="E59" i="3"/>
  <c r="E88" i="3"/>
  <c r="E66" i="3"/>
  <c r="E78" i="3"/>
  <c r="E52" i="3"/>
  <c r="E29" i="3"/>
  <c r="E38" i="3"/>
  <c r="E24" i="3"/>
  <c r="E18" i="3"/>
  <c r="E56" i="3"/>
  <c r="E108" i="3"/>
  <c r="E72" i="3"/>
  <c r="E102" i="3"/>
  <c r="E100" i="3"/>
  <c r="E64" i="3"/>
  <c r="E71" i="3"/>
  <c r="E31" i="3"/>
  <c r="E49" i="3"/>
  <c r="E53" i="3"/>
  <c r="E46" i="3"/>
  <c r="E48" i="3"/>
  <c r="E19" i="3"/>
  <c r="E67" i="3"/>
  <c r="E99" i="3"/>
  <c r="E97" i="3"/>
  <c r="E112" i="3"/>
  <c r="E75" i="3"/>
  <c r="E80" i="3"/>
  <c r="E87" i="3"/>
  <c r="E47" i="3"/>
  <c r="E27" i="3"/>
  <c r="E14" i="3"/>
  <c r="E54" i="3"/>
  <c r="E74" i="3"/>
  <c r="E35" i="3"/>
  <c r="E83" i="3"/>
  <c r="E106" i="3"/>
  <c r="E63" i="3"/>
  <c r="E61" i="3"/>
  <c r="E82" i="3"/>
  <c r="E89" i="3"/>
  <c r="E94" i="3"/>
  <c r="E69" i="3"/>
  <c r="E43" i="3"/>
  <c r="E22" i="3"/>
  <c r="E58" i="3"/>
  <c r="E21" i="3"/>
  <c r="E55" i="3"/>
  <c r="E76" i="3"/>
  <c r="E111" i="3"/>
  <c r="E70" i="3"/>
  <c r="E68" i="3"/>
  <c r="E91" i="3"/>
  <c r="E96" i="3"/>
  <c r="E103" i="3"/>
  <c r="C114" i="3"/>
  <c r="F128" i="3"/>
  <c r="B7" i="4" s="1"/>
  <c r="C57" i="4" a="1"/>
  <c r="C67" i="4" a="1"/>
  <c r="C94" i="4" a="1"/>
  <c r="C110" i="4" a="1"/>
  <c r="C65" i="4" a="1"/>
  <c r="C130" i="4" a="1"/>
  <c r="C115" i="4" a="1"/>
  <c r="C109" i="4" a="1"/>
  <c r="C83" i="4" a="1"/>
  <c r="C117" i="4" a="1"/>
  <c r="C120" i="4" a="1"/>
  <c r="C80" i="4" a="1"/>
  <c r="C105" i="4" a="1"/>
  <c r="C59" i="4" a="1"/>
  <c r="C70" i="4" a="1"/>
  <c r="C132" i="4" a="1"/>
  <c r="C121" i="4" a="1"/>
  <c r="C52" i="4" a="1"/>
  <c r="C137" i="4" a="1"/>
  <c r="C84" i="4" a="1"/>
  <c r="C95" i="4" a="1"/>
  <c r="C134" i="4" a="1"/>
  <c r="C77" i="4" a="1"/>
  <c r="C125" i="4" a="1"/>
  <c r="C149" i="4" a="1"/>
  <c r="C131" i="4" a="1"/>
  <c r="C69" i="4" a="1"/>
  <c r="C146" i="4" a="1"/>
  <c r="C141" i="4" a="1"/>
  <c r="C145" i="4" a="1"/>
  <c r="C112" i="4" a="1"/>
  <c r="C107" i="4" a="1"/>
  <c r="C63" i="4" a="1"/>
  <c r="C82" i="4" a="1"/>
  <c r="C138" i="4" a="1"/>
  <c r="C60" i="4" a="1"/>
  <c r="C118" i="4" a="1"/>
  <c r="C99" i="4" a="1"/>
  <c r="C89" i="4" a="1"/>
  <c r="C139" i="4" a="1"/>
  <c r="C85" i="4" a="1"/>
  <c r="C124" i="4" a="1"/>
  <c r="C143" i="4" a="1"/>
  <c r="C128" i="4" a="1"/>
  <c r="C129" i="4" a="1"/>
  <c r="C53" i="4" a="1"/>
  <c r="C66" i="4" a="1"/>
  <c r="C56" i="4" a="1"/>
  <c r="C100" i="4" a="1"/>
  <c r="C133" i="4" a="1"/>
  <c r="C135" i="4" a="1"/>
  <c r="C68" i="4" a="1"/>
  <c r="C127" i="4" a="1"/>
  <c r="C54" i="4" a="1"/>
  <c r="C81" i="4" a="1"/>
  <c r="C86" i="4" a="1"/>
  <c r="C148" i="4" a="1"/>
  <c r="C88" i="4" a="1"/>
  <c r="C103" i="4" a="1"/>
  <c r="C106" i="4" a="1"/>
  <c r="C122" i="4" a="1"/>
  <c r="C123" i="4" a="1"/>
  <c r="C74" i="4" a="1"/>
  <c r="C102" i="4" a="1"/>
  <c r="C147" i="4" a="1"/>
  <c r="C78" i="4" a="1"/>
  <c r="C75" i="4" a="1"/>
  <c r="C101" i="4" a="1"/>
  <c r="C104" i="4" a="1"/>
  <c r="C64" i="4" a="1"/>
  <c r="C98" i="4" a="1"/>
  <c r="C58" i="4" a="1"/>
  <c r="C140" i="4" a="1"/>
  <c r="C116" i="4" a="1"/>
  <c r="C144" i="4" a="1"/>
  <c r="C79" i="4" a="1"/>
  <c r="C114" i="4" a="1"/>
  <c r="C62" i="4" a="1"/>
  <c r="C73" i="4" a="1"/>
  <c r="C61" i="4" a="1"/>
  <c r="C108" i="4" a="1"/>
  <c r="C136" i="4" a="1"/>
  <c r="C51" i="4" a="1"/>
  <c r="C119" i="4" a="1"/>
  <c r="C92" i="4" a="1"/>
  <c r="C87" i="4" a="1"/>
  <c r="C142" i="4" a="1"/>
  <c r="C97" i="4" a="1"/>
  <c r="C96" i="4" a="1"/>
  <c r="C55" i="4" a="1"/>
  <c r="C91" i="4" a="1"/>
  <c r="C126" i="4" a="1"/>
  <c r="C113" i="4" a="1"/>
  <c r="C150" i="4" a="1"/>
  <c r="C93" i="4" a="1"/>
  <c r="C111" i="4" a="1"/>
  <c r="C71" i="4" a="1"/>
  <c r="C76" i="4" a="1"/>
  <c r="C90" i="4" a="1"/>
  <c r="C72" i="4" a="1"/>
  <c r="C72" i="4" l="1"/>
  <c r="C90" i="4"/>
  <c r="C76" i="4"/>
  <c r="C71" i="4"/>
  <c r="C111" i="4"/>
  <c r="C93" i="4"/>
  <c r="C150" i="4"/>
  <c r="C113" i="4"/>
  <c r="C126" i="4"/>
  <c r="C91" i="4"/>
  <c r="C55" i="4"/>
  <c r="C96" i="4"/>
  <c r="C97" i="4"/>
  <c r="C142" i="4"/>
  <c r="C87" i="4"/>
  <c r="C92" i="4"/>
  <c r="C119" i="4"/>
  <c r="C51" i="4"/>
  <c r="C136" i="4"/>
  <c r="C108" i="4"/>
  <c r="C61" i="4"/>
  <c r="C73" i="4"/>
  <c r="C62" i="4"/>
  <c r="C114" i="4"/>
  <c r="C79" i="4"/>
  <c r="C144" i="4"/>
  <c r="C116" i="4"/>
  <c r="C140" i="4"/>
  <c r="C58" i="4"/>
  <c r="C98" i="4"/>
  <c r="C64" i="4"/>
  <c r="C104" i="4"/>
  <c r="C101" i="4"/>
  <c r="C75" i="4"/>
  <c r="C78" i="4"/>
  <c r="C147" i="4"/>
  <c r="C102" i="4"/>
  <c r="C74" i="4"/>
  <c r="C123" i="4"/>
  <c r="C122" i="4"/>
  <c r="C106" i="4"/>
  <c r="C103" i="4"/>
  <c r="C88" i="4"/>
  <c r="C148" i="4"/>
  <c r="C86" i="4"/>
  <c r="C81" i="4"/>
  <c r="C54" i="4"/>
  <c r="C127" i="4"/>
  <c r="C68" i="4"/>
  <c r="C135" i="4"/>
  <c r="C133" i="4"/>
  <c r="C100" i="4"/>
  <c r="C56" i="4"/>
  <c r="C66" i="4"/>
  <c r="C53" i="4"/>
  <c r="C129" i="4"/>
  <c r="C128" i="4"/>
  <c r="C143" i="4"/>
  <c r="C124" i="4"/>
  <c r="C85" i="4"/>
  <c r="C139" i="4"/>
  <c r="C89" i="4"/>
  <c r="C99" i="4"/>
  <c r="C118" i="4"/>
  <c r="C60" i="4"/>
  <c r="C138" i="4"/>
  <c r="C82" i="4"/>
  <c r="C63" i="4"/>
  <c r="C107" i="4"/>
  <c r="C112" i="4"/>
  <c r="C145" i="4"/>
  <c r="C141" i="4"/>
  <c r="C146" i="4"/>
  <c r="C69" i="4"/>
  <c r="C131" i="4"/>
  <c r="C149" i="4"/>
  <c r="C125" i="4"/>
  <c r="C77" i="4"/>
  <c r="C134" i="4"/>
  <c r="C95" i="4"/>
  <c r="C84" i="4"/>
  <c r="C137" i="4"/>
  <c r="C52" i="4"/>
  <c r="C121" i="4"/>
  <c r="C132" i="4"/>
  <c r="C70" i="4"/>
  <c r="C59" i="4"/>
  <c r="C105" i="4"/>
  <c r="C80" i="4"/>
  <c r="C120" i="4"/>
  <c r="C117" i="4"/>
  <c r="C83" i="4"/>
  <c r="C109" i="4"/>
  <c r="C115" i="4"/>
  <c r="C130" i="4"/>
  <c r="C65" i="4"/>
  <c r="C110" i="4"/>
  <c r="C94" i="4"/>
  <c r="C67" i="4"/>
  <c r="C57" i="4"/>
  <c r="D76" i="3"/>
  <c r="D65" i="3"/>
  <c r="D103" i="3"/>
  <c r="D88" i="3"/>
  <c r="D95" i="3"/>
  <c r="D45" i="3"/>
  <c r="D93" i="3"/>
  <c r="D18" i="3"/>
  <c r="D62" i="3"/>
  <c r="D108" i="3"/>
  <c r="D72" i="3"/>
  <c r="D20" i="3"/>
  <c r="D74" i="3"/>
  <c r="D36" i="3"/>
  <c r="D31" i="3"/>
  <c r="D97" i="3"/>
  <c r="D113" i="3"/>
  <c r="D41" i="3"/>
  <c r="D82" i="3"/>
  <c r="D87" i="3"/>
  <c r="D27" i="3"/>
  <c r="D77" i="3"/>
  <c r="D34" i="3"/>
  <c r="D94" i="3"/>
  <c r="D47" i="3"/>
  <c r="D81" i="3"/>
  <c r="D49" i="3"/>
  <c r="D57" i="3"/>
  <c r="D73" i="3"/>
  <c r="D64" i="3"/>
  <c r="D112" i="3"/>
  <c r="D68" i="3"/>
  <c r="D91" i="3"/>
  <c r="D59" i="3"/>
  <c r="D84" i="3"/>
  <c r="D19" i="3"/>
  <c r="D25" i="3"/>
  <c r="D33" i="3"/>
  <c r="D110" i="3"/>
  <c r="D111" i="3"/>
  <c r="D70" i="3"/>
  <c r="D109" i="3"/>
  <c r="D26" i="3"/>
  <c r="D15" i="3"/>
  <c r="D52" i="3"/>
  <c r="D79" i="3"/>
  <c r="D78" i="3"/>
  <c r="D54" i="3"/>
  <c r="D55" i="3"/>
  <c r="D23" i="3"/>
  <c r="D44" i="3"/>
  <c r="D46" i="3"/>
  <c r="D56" i="3"/>
  <c r="D39" i="3"/>
  <c r="D104" i="3"/>
  <c r="D71" i="3"/>
  <c r="D83" i="3"/>
  <c r="D90" i="3"/>
  <c r="D86" i="3"/>
  <c r="D21" i="3"/>
  <c r="D69" i="3"/>
  <c r="D28" i="3"/>
  <c r="D66" i="3"/>
  <c r="D53" i="3"/>
  <c r="D29" i="3"/>
  <c r="D58" i="3"/>
  <c r="D32" i="3"/>
  <c r="D40" i="3"/>
  <c r="D60" i="3"/>
  <c r="D37" i="3"/>
  <c r="D96" i="3"/>
  <c r="D61" i="3"/>
  <c r="D80" i="3"/>
  <c r="D51" i="3"/>
  <c r="D35" i="3"/>
  <c r="D107" i="3"/>
  <c r="D38" i="3"/>
  <c r="D101" i="3"/>
  <c r="D102" i="3"/>
  <c r="D105" i="3"/>
  <c r="D63" i="3"/>
  <c r="D98" i="3"/>
  <c r="D42" i="3"/>
  <c r="D17" i="3"/>
  <c r="D50" i="3"/>
  <c r="D75" i="3"/>
  <c r="D67" i="3"/>
  <c r="D99" i="3"/>
  <c r="D106" i="3"/>
  <c r="D48" i="3"/>
  <c r="D16" i="3"/>
  <c r="D92" i="3"/>
  <c r="D89" i="3"/>
  <c r="D85" i="3"/>
  <c r="D14" i="3"/>
  <c r="D22" i="3"/>
  <c r="D30" i="3"/>
  <c r="D100" i="3"/>
  <c r="D24" i="3"/>
  <c r="D43" i="3"/>
  <c r="E114" i="3"/>
  <c r="F119" i="3" s="1" a="1"/>
  <c r="F119" i="3" s="1"/>
  <c r="F19" i="4" a="1"/>
  <c r="E19" i="4" a="1"/>
  <c r="D19" i="4" a="1"/>
  <c r="D22" i="4" a="1"/>
  <c r="G19" i="4" a="1"/>
  <c r="F93" i="3" a="1"/>
  <c r="F31" i="3" a="1"/>
  <c r="F34" i="3" a="1"/>
  <c r="F112" i="3" a="1"/>
  <c r="F110" i="3" a="1"/>
  <c r="F78" i="3" a="1"/>
  <c r="F104" i="3" a="1"/>
  <c r="F66" i="3" a="1"/>
  <c r="F96" i="3" a="1"/>
  <c r="F102" i="3" a="1"/>
  <c r="F14" i="3" a="1"/>
  <c r="F23" i="3" a="1"/>
  <c r="F51" i="3" a="1"/>
  <c r="F100" i="3" a="1"/>
  <c r="F17" i="3" a="1"/>
  <c r="F18" i="3" a="1"/>
  <c r="F97" i="3" a="1"/>
  <c r="F94" i="3" a="1"/>
  <c r="F68" i="3" a="1"/>
  <c r="F111" i="3" a="1"/>
  <c r="F54" i="3" a="1"/>
  <c r="F71" i="3" a="1"/>
  <c r="F53" i="3" a="1"/>
  <c r="F61" i="3" a="1"/>
  <c r="F105" i="3" a="1"/>
  <c r="F99" i="3" a="1"/>
  <c r="F22" i="3" a="1"/>
  <c r="F83" i="3" a="1"/>
  <c r="F29" i="3" a="1"/>
  <c r="F80" i="3" a="1"/>
  <c r="F30" i="3" a="1"/>
  <c r="F90" i="3" a="1"/>
  <c r="F58" i="3" a="1"/>
  <c r="F98" i="3" a="1"/>
  <c r="F44" i="3" a="1"/>
  <c r="F32" i="3" a="1"/>
  <c r="F24" i="3" a="1"/>
  <c r="F76" i="3" a="1"/>
  <c r="F62" i="3" a="1"/>
  <c r="F113" i="3" a="1"/>
  <c r="F47" i="3" a="1"/>
  <c r="F91" i="3" a="1"/>
  <c r="F70" i="3" a="1"/>
  <c r="F55" i="3" a="1"/>
  <c r="F106" i="3" a="1"/>
  <c r="F48" i="3" a="1"/>
  <c r="F65" i="3" a="1"/>
  <c r="F108" i="3" a="1"/>
  <c r="F41" i="3" a="1"/>
  <c r="F81" i="3" a="1"/>
  <c r="F59" i="3" a="1"/>
  <c r="F109" i="3" a="1"/>
  <c r="F86" i="3" a="1"/>
  <c r="F35" i="3" a="1"/>
  <c r="F103" i="3" a="1"/>
  <c r="F72" i="3" a="1"/>
  <c r="F82" i="3" a="1"/>
  <c r="F49" i="3" a="1"/>
  <c r="F84" i="3" a="1"/>
  <c r="F26" i="3" a="1"/>
  <c r="F43" i="3" a="1"/>
  <c r="F88" i="3" a="1"/>
  <c r="F20" i="3" a="1"/>
  <c r="F87" i="3" a="1"/>
  <c r="F57" i="3" a="1"/>
  <c r="F19" i="3" a="1"/>
  <c r="F15" i="3" a="1"/>
  <c r="F46" i="3" a="1"/>
  <c r="F21" i="3" a="1"/>
  <c r="F40" i="3" a="1"/>
  <c r="F92" i="3" a="1"/>
  <c r="F95" i="3" a="1"/>
  <c r="F74" i="3" a="1"/>
  <c r="F27" i="3" a="1"/>
  <c r="F73" i="3" a="1"/>
  <c r="F25" i="3" a="1"/>
  <c r="F52" i="3" a="1"/>
  <c r="F56" i="3" a="1"/>
  <c r="F69" i="3" a="1"/>
  <c r="F60" i="3" a="1"/>
  <c r="F38" i="3" a="1"/>
  <c r="F50" i="3" a="1"/>
  <c r="F89" i="3" a="1"/>
  <c r="F37" i="3" a="1"/>
  <c r="F101" i="3" a="1"/>
  <c r="F75" i="3" a="1"/>
  <c r="F85" i="3" a="1"/>
  <c r="F63" i="3" a="1"/>
  <c r="F16" i="3" a="1"/>
  <c r="F45" i="3" a="1"/>
  <c r="F36" i="3" a="1"/>
  <c r="F77" i="3" a="1"/>
  <c r="F64" i="3" a="1"/>
  <c r="F33" i="3" a="1"/>
  <c r="F79" i="3" a="1"/>
  <c r="F39" i="3" a="1"/>
  <c r="F28" i="3" a="1"/>
  <c r="F67" i="3" a="1"/>
  <c r="F42" i="3" a="1"/>
  <c r="F107" i="3" a="1"/>
  <c r="G19" i="4" l="1"/>
  <c r="D22" i="4"/>
  <c r="D19" i="4"/>
  <c r="E19" i="4"/>
  <c r="F19" i="4"/>
  <c r="F107" i="3"/>
  <c r="F42" i="3"/>
  <c r="F67" i="3"/>
  <c r="F28" i="3"/>
  <c r="F39" i="3"/>
  <c r="F79" i="3"/>
  <c r="F33" i="3"/>
  <c r="F64" i="3"/>
  <c r="F77" i="3"/>
  <c r="F36" i="3"/>
  <c r="F45" i="3"/>
  <c r="F16" i="3"/>
  <c r="F63" i="3"/>
  <c r="F85" i="3"/>
  <c r="F75" i="3"/>
  <c r="F101" i="3"/>
  <c r="F37" i="3"/>
  <c r="F89" i="3"/>
  <c r="F50" i="3"/>
  <c r="F38" i="3"/>
  <c r="F60" i="3"/>
  <c r="F69" i="3"/>
  <c r="F56" i="3"/>
  <c r="F52" i="3"/>
  <c r="F25" i="3"/>
  <c r="F73" i="3"/>
  <c r="F27" i="3"/>
  <c r="F74" i="3"/>
  <c r="F95" i="3"/>
  <c r="F92" i="3"/>
  <c r="F40" i="3"/>
  <c r="F21" i="3"/>
  <c r="F46" i="3"/>
  <c r="F15" i="3"/>
  <c r="F19" i="3"/>
  <c r="F57" i="3"/>
  <c r="F87" i="3"/>
  <c r="F20" i="3"/>
  <c r="F88" i="3"/>
  <c r="F43" i="3"/>
  <c r="F26" i="3"/>
  <c r="F84" i="3"/>
  <c r="F49" i="3"/>
  <c r="F82" i="3"/>
  <c r="F72" i="3"/>
  <c r="F103" i="3"/>
  <c r="F35" i="3"/>
  <c r="F86" i="3"/>
  <c r="F109" i="3"/>
  <c r="F59" i="3"/>
  <c r="F81" i="3"/>
  <c r="F41" i="3"/>
  <c r="F108" i="3"/>
  <c r="F65" i="3"/>
  <c r="F48" i="3"/>
  <c r="F106" i="3"/>
  <c r="F55" i="3"/>
  <c r="F70" i="3"/>
  <c r="F91" i="3"/>
  <c r="F47" i="3"/>
  <c r="F113" i="3"/>
  <c r="F62" i="3"/>
  <c r="F76" i="3"/>
  <c r="F24" i="3"/>
  <c r="F32" i="3"/>
  <c r="F44" i="3"/>
  <c r="F98" i="3"/>
  <c r="F58" i="3"/>
  <c r="F90" i="3"/>
  <c r="F30" i="3"/>
  <c r="F80" i="3"/>
  <c r="F29" i="3"/>
  <c r="F83" i="3"/>
  <c r="F22" i="3"/>
  <c r="F99" i="3"/>
  <c r="F105" i="3"/>
  <c r="F61" i="3"/>
  <c r="F53" i="3"/>
  <c r="F71" i="3"/>
  <c r="F54" i="3"/>
  <c r="F111" i="3"/>
  <c r="F68" i="3"/>
  <c r="F94" i="3"/>
  <c r="F97" i="3"/>
  <c r="F18" i="3"/>
  <c r="F17" i="3"/>
  <c r="F100" i="3"/>
  <c r="F51" i="3"/>
  <c r="F23" i="3"/>
  <c r="F14" i="3"/>
  <c r="F102" i="3"/>
  <c r="F96" i="3"/>
  <c r="F66" i="3"/>
  <c r="F104" i="3"/>
  <c r="F78" i="3"/>
  <c r="F110" i="3"/>
  <c r="F112" i="3"/>
  <c r="F34" i="3"/>
  <c r="F31" i="3"/>
  <c r="F93" i="3"/>
  <c r="F167" i="4" a="1"/>
  <c r="E167" i="4" a="1"/>
  <c r="C167" i="4" a="1"/>
  <c r="D167" i="4" a="1"/>
  <c r="D65" i="4" a="1"/>
  <c r="C155" i="4" a="1"/>
  <c r="D53" i="4" a="1"/>
  <c r="D155" i="4" a="1"/>
  <c r="F155" i="4" a="1"/>
  <c r="E155" i="4" a="1"/>
  <c r="F177" i="4" a="1"/>
  <c r="D75" i="4" a="1"/>
  <c r="C177" i="4" a="1"/>
  <c r="D177" i="4" a="1"/>
  <c r="E177" i="4" a="1"/>
  <c r="D111" i="4" a="1"/>
  <c r="C213" i="4" a="1"/>
  <c r="E213" i="4" a="1"/>
  <c r="F213" i="4" a="1"/>
  <c r="D213" i="4" a="1"/>
  <c r="E196" i="4" a="1"/>
  <c r="C196" i="4" a="1"/>
  <c r="D94" i="4" a="1"/>
  <c r="D196" i="4" a="1"/>
  <c r="F196" i="4" a="1"/>
  <c r="E221" i="4" a="1"/>
  <c r="D221" i="4" a="1"/>
  <c r="D119" i="4" a="1"/>
  <c r="C221" i="4" a="1"/>
  <c r="F221" i="4" a="1"/>
  <c r="D78" i="4" a="1"/>
  <c r="C180" i="4" a="1"/>
  <c r="F180" i="4" a="1"/>
  <c r="D180" i="4" a="1"/>
  <c r="E180" i="4" a="1"/>
  <c r="D186" i="4" a="1"/>
  <c r="F186" i="4" a="1"/>
  <c r="C186" i="4" a="1"/>
  <c r="E186" i="4" a="1"/>
  <c r="D84" i="4" a="1"/>
  <c r="C197" i="4" a="1"/>
  <c r="D197" i="4" a="1"/>
  <c r="F197" i="4" a="1"/>
  <c r="E197" i="4" a="1"/>
  <c r="D95" i="4" a="1"/>
  <c r="D142" i="4" a="1"/>
  <c r="C244" i="4" a="1"/>
  <c r="F244" i="4" a="1"/>
  <c r="E244" i="4" a="1"/>
  <c r="D244" i="4" a="1"/>
  <c r="D236" i="4" a="1"/>
  <c r="F236" i="4" a="1"/>
  <c r="C236" i="4" a="1"/>
  <c r="E236" i="4" a="1"/>
  <c r="D134" i="4" a="1"/>
  <c r="E235" i="4" a="1"/>
  <c r="D235" i="4" a="1"/>
  <c r="D133" i="4" a="1"/>
  <c r="C235" i="4" a="1"/>
  <c r="F235" i="4" a="1"/>
  <c r="D130" i="4" a="1"/>
  <c r="C232" i="4" a="1"/>
  <c r="D232" i="4" a="1"/>
  <c r="E232" i="4" a="1"/>
  <c r="F232" i="4" a="1"/>
  <c r="D76" i="4" a="1"/>
  <c r="D178" i="4" a="1"/>
  <c r="C178" i="4" a="1"/>
  <c r="F178" i="4" a="1"/>
  <c r="E178" i="4" a="1"/>
  <c r="F202" i="4" a="1"/>
  <c r="C202" i="4" a="1"/>
  <c r="D202" i="4" a="1"/>
  <c r="E202" i="4" a="1"/>
  <c r="D100" i="4" a="1"/>
  <c r="E199" i="4" a="1"/>
  <c r="D199" i="4" a="1"/>
  <c r="C199" i="4" a="1"/>
  <c r="F199" i="4" a="1"/>
  <c r="D97" i="4" a="1"/>
  <c r="D132" i="4" a="1"/>
  <c r="E234" i="4" a="1"/>
  <c r="F234" i="4" a="1"/>
  <c r="D234" i="4" a="1"/>
  <c r="C234" i="4" a="1"/>
  <c r="C226" i="4" a="1"/>
  <c r="F226" i="4" a="1"/>
  <c r="D124" i="4" a="1"/>
  <c r="E226" i="4" a="1"/>
  <c r="D226" i="4" a="1"/>
  <c r="C211" i="4" a="1"/>
  <c r="E211" i="4" a="1"/>
  <c r="D109" i="4" a="1"/>
  <c r="F211" i="4" a="1"/>
  <c r="D211" i="4" a="1"/>
  <c r="C247" i="4" a="1"/>
  <c r="D247" i="4" a="1"/>
  <c r="E247" i="4" a="1"/>
  <c r="F247" i="4" a="1"/>
  <c r="D145" i="4" a="1"/>
  <c r="F252" i="4" a="1"/>
  <c r="C252" i="4" a="1"/>
  <c r="E252" i="4" a="1"/>
  <c r="D150" i="4" a="1"/>
  <c r="D252" i="4" a="1"/>
  <c r="D127" i="4" a="1"/>
  <c r="F229" i="4" a="1"/>
  <c r="E229" i="4" a="1"/>
  <c r="C229" i="4" a="1"/>
  <c r="D229" i="4" a="1"/>
  <c r="E200" i="4" a="1"/>
  <c r="F200" i="4" a="1"/>
  <c r="D200" i="4" a="1"/>
  <c r="D98" i="4" a="1"/>
  <c r="C200" i="4" a="1"/>
  <c r="D55" i="4" a="1"/>
  <c r="D157" i="4" a="1"/>
  <c r="F157" i="4" a="1"/>
  <c r="C157" i="4" a="1"/>
  <c r="E157" i="4" a="1"/>
  <c r="C205" i="4" a="1"/>
  <c r="E205" i="4" a="1"/>
  <c r="D103" i="4" a="1"/>
  <c r="F205" i="4" a="1"/>
  <c r="D205" i="4" a="1"/>
  <c r="D116" i="4" a="1"/>
  <c r="C218" i="4" a="1"/>
  <c r="D218" i="4" a="1"/>
  <c r="E218" i="4" a="1"/>
  <c r="F218" i="4" a="1"/>
  <c r="D122" i="4" a="1"/>
  <c r="F224" i="4" a="1"/>
  <c r="C224" i="4" a="1"/>
  <c r="E224" i="4" a="1"/>
  <c r="D224" i="4" a="1"/>
  <c r="E208" i="4" a="1"/>
  <c r="C208" i="4" a="1"/>
  <c r="F208" i="4" a="1"/>
  <c r="D106" i="4" a="1"/>
  <c r="D208" i="4" a="1"/>
  <c r="C231" i="4" a="1"/>
  <c r="E231" i="4" a="1"/>
  <c r="F231" i="4" a="1"/>
  <c r="D231" i="4" a="1"/>
  <c r="D129" i="4" a="1"/>
  <c r="D159" i="4" a="1"/>
  <c r="C159" i="4" a="1"/>
  <c r="D57" i="4" a="1"/>
  <c r="E159" i="4" a="1"/>
  <c r="F159" i="4" a="1"/>
  <c r="D140" i="4" a="1"/>
  <c r="C242" i="4" a="1"/>
  <c r="E242" i="4" a="1"/>
  <c r="F242" i="4" a="1"/>
  <c r="D242" i="4" a="1"/>
  <c r="C204" i="4" a="1"/>
  <c r="E204" i="4" a="1"/>
  <c r="F204" i="4" a="1"/>
  <c r="D102" i="4" a="1"/>
  <c r="D204" i="4" a="1"/>
  <c r="D99" i="4" a="1"/>
  <c r="E201" i="4" a="1"/>
  <c r="C201" i="4" a="1"/>
  <c r="D201" i="4" a="1"/>
  <c r="F201" i="4" a="1"/>
  <c r="C169" i="4" a="1"/>
  <c r="D67" i="4" a="1"/>
  <c r="E169" i="4" a="1"/>
  <c r="D169" i="4" a="1"/>
  <c r="F169" i="4" a="1"/>
  <c r="F192" i="4" a="1"/>
  <c r="C192" i="4" a="1"/>
  <c r="D90" i="4" a="1"/>
  <c r="E192" i="4" a="1"/>
  <c r="D192" i="4" a="1"/>
  <c r="F156" i="4" a="1"/>
  <c r="D54" i="4" a="1"/>
  <c r="C156" i="4" a="1"/>
  <c r="E156" i="4" a="1"/>
  <c r="D156" i="4" a="1"/>
  <c r="E243" i="4" a="1"/>
  <c r="F243" i="4" a="1"/>
  <c r="D243" i="4" a="1"/>
  <c r="D141" i="4" a="1"/>
  <c r="C243" i="4" a="1"/>
  <c r="C172" i="4" a="1"/>
  <c r="D172" i="4" a="1"/>
  <c r="D70" i="4" a="1"/>
  <c r="F172" i="4" a="1"/>
  <c r="E172" i="4" a="1"/>
  <c r="D112" i="4" a="1"/>
  <c r="E214" i="4" a="1"/>
  <c r="D214" i="4" a="1"/>
  <c r="C214" i="4" a="1"/>
  <c r="F214" i="4" a="1"/>
  <c r="D93" i="4" a="1"/>
  <c r="F195" i="4" a="1"/>
  <c r="D195" i="4" a="1"/>
  <c r="E195" i="4" a="1"/>
  <c r="C195" i="4" a="1"/>
  <c r="E179" i="4" a="1"/>
  <c r="F179" i="4" a="1"/>
  <c r="D77" i="4" a="1"/>
  <c r="C179" i="4" a="1"/>
  <c r="D179" i="4" a="1"/>
  <c r="C227" i="4" a="1"/>
  <c r="F227" i="4" a="1"/>
  <c r="D227" i="4" a="1"/>
  <c r="D125" i="4" a="1"/>
  <c r="E227" i="4" a="1"/>
  <c r="D174" i="4" a="1"/>
  <c r="F174" i="4" a="1"/>
  <c r="E174" i="4" a="1"/>
  <c r="C174" i="4" a="1"/>
  <c r="D72" i="4" a="1"/>
  <c r="C187" i="4" a="1"/>
  <c r="E187" i="4" a="1"/>
  <c r="F187" i="4" a="1"/>
  <c r="D187" i="4" a="1"/>
  <c r="D85" i="4" a="1"/>
  <c r="C215" i="4" a="1"/>
  <c r="D215" i="4" a="1"/>
  <c r="D113" i="4" a="1"/>
  <c r="E215" i="4" a="1"/>
  <c r="F215" i="4" a="1"/>
  <c r="E219" i="4" a="1"/>
  <c r="F219" i="4" a="1"/>
  <c r="C219" i="4" a="1"/>
  <c r="D219" i="4" a="1"/>
  <c r="D117" i="4" a="1"/>
  <c r="D108" i="4" a="1"/>
  <c r="E210" i="4" a="1"/>
  <c r="D210" i="4" a="1"/>
  <c r="C210" i="4" a="1"/>
  <c r="F210" i="4" a="1"/>
  <c r="E239" i="4" a="1"/>
  <c r="F239" i="4" a="1"/>
  <c r="D239" i="4" a="1"/>
  <c r="D137" i="4" a="1"/>
  <c r="C239" i="4" a="1"/>
  <c r="D115" i="4" a="1"/>
  <c r="C217" i="4" a="1"/>
  <c r="E217" i="4" a="1"/>
  <c r="F217" i="4" a="1"/>
  <c r="D217" i="4" a="1"/>
  <c r="D101" i="4" a="1"/>
  <c r="E203" i="4" a="1"/>
  <c r="F203" i="4" a="1"/>
  <c r="C203" i="4" a="1"/>
  <c r="D203" i="4" a="1"/>
  <c r="D138" i="4" a="1"/>
  <c r="E240" i="4" a="1"/>
  <c r="F240" i="4" a="1"/>
  <c r="D240" i="4" a="1"/>
  <c r="C240" i="4" a="1"/>
  <c r="D191" i="4" a="1"/>
  <c r="D89" i="4" a="1"/>
  <c r="E191" i="4" a="1"/>
  <c r="F191" i="4" a="1"/>
  <c r="C191" i="4" a="1"/>
  <c r="D160" i="4" a="1"/>
  <c r="C160" i="4" a="1"/>
  <c r="D58" i="4" a="1"/>
  <c r="E160" i="4" a="1"/>
  <c r="F160" i="4" a="1"/>
  <c r="D182" i="4" a="1"/>
  <c r="F182" i="4" a="1"/>
  <c r="E182" i="4" a="1"/>
  <c r="C182" i="4" a="1"/>
  <c r="D80" i="4" a="1"/>
  <c r="D225" i="4" a="1"/>
  <c r="D123" i="4" a="1"/>
  <c r="C225" i="4" a="1"/>
  <c r="E225" i="4" a="1"/>
  <c r="F225" i="4" a="1"/>
  <c r="F245" i="4" a="1"/>
  <c r="D245" i="4" a="1"/>
  <c r="C245" i="4" a="1"/>
  <c r="D143" i="4" a="1"/>
  <c r="E245" i="4" a="1"/>
  <c r="F163" i="4" a="1"/>
  <c r="C163" i="4" a="1"/>
  <c r="D163" i="4" a="1"/>
  <c r="D61" i="4" a="1"/>
  <c r="E163" i="4" a="1"/>
  <c r="D168" i="4" a="1"/>
  <c r="D66" i="4" a="1"/>
  <c r="C168" i="4" a="1"/>
  <c r="E168" i="4" a="1"/>
  <c r="F168" i="4" a="1"/>
  <c r="F193" i="4" a="1"/>
  <c r="D91" i="4" a="1"/>
  <c r="D193" i="4" a="1"/>
  <c r="C193" i="4" a="1"/>
  <c r="E193" i="4" a="1"/>
  <c r="E190" i="4" a="1"/>
  <c r="D88" i="4" a="1"/>
  <c r="D190" i="4" a="1"/>
  <c r="F190" i="4" a="1"/>
  <c r="C190" i="4" a="1"/>
  <c r="D249" i="4" a="1"/>
  <c r="D147" i="4" a="1"/>
  <c r="E249" i="4" a="1"/>
  <c r="C249" i="4" a="1"/>
  <c r="F249" i="4" a="1"/>
  <c r="D144" i="4" a="1"/>
  <c r="F246" i="4" a="1"/>
  <c r="D246" i="4" a="1"/>
  <c r="E246" i="4" a="1"/>
  <c r="C246" i="4" a="1"/>
  <c r="F216" i="4" a="1"/>
  <c r="C216" i="4" a="1"/>
  <c r="D114" i="4" a="1"/>
  <c r="D216" i="4" a="1"/>
  <c r="E216" i="4" a="1"/>
  <c r="D176" i="4" a="1"/>
  <c r="D74" i="4" a="1"/>
  <c r="E176" i="4" a="1"/>
  <c r="F176" i="4" a="1"/>
  <c r="C176" i="4" a="1"/>
  <c r="E164" i="4" a="1"/>
  <c r="D164" i="4" a="1"/>
  <c r="D62" i="4" a="1"/>
  <c r="C164" i="4" a="1"/>
  <c r="F164" i="4" a="1"/>
  <c r="F185" i="4" a="1"/>
  <c r="D83" i="4" a="1"/>
  <c r="E185" i="4" a="1"/>
  <c r="D185" i="4" a="1"/>
  <c r="C185" i="4" a="1"/>
  <c r="E165" i="4" a="1"/>
  <c r="C165" i="4" a="1"/>
  <c r="F165" i="4" a="1"/>
  <c r="D165" i="4" a="1"/>
  <c r="D63" i="4" a="1"/>
  <c r="C248" i="4" a="1"/>
  <c r="F248" i="4" a="1"/>
  <c r="E248" i="4" a="1"/>
  <c r="D146" i="4" a="1"/>
  <c r="D248" i="4" a="1"/>
  <c r="D92" i="4" a="1"/>
  <c r="D194" i="4" a="1"/>
  <c r="E194" i="4" a="1"/>
  <c r="F194" i="4" a="1"/>
  <c r="C194" i="4" a="1"/>
  <c r="E171" i="4" a="1"/>
  <c r="D69" i="4" a="1"/>
  <c r="F171" i="4" a="1"/>
  <c r="D171" i="4" a="1"/>
  <c r="C171" i="4" a="1"/>
  <c r="D120" i="4" a="1"/>
  <c r="D222" i="4" a="1"/>
  <c r="F222" i="4" a="1"/>
  <c r="E222" i="4" a="1"/>
  <c r="C222" i="4" a="1"/>
  <c r="E250" i="4" a="1"/>
  <c r="F250" i="4" a="1"/>
  <c r="D148" i="4" a="1"/>
  <c r="C250" i="4" a="1"/>
  <c r="D250" i="4" a="1"/>
  <c r="C162" i="4" a="1"/>
  <c r="D60" i="4" a="1"/>
  <c r="E162" i="4" a="1"/>
  <c r="D162" i="4" a="1"/>
  <c r="F162" i="4" a="1"/>
  <c r="D251" i="4" a="1"/>
  <c r="F251" i="4" a="1"/>
  <c r="D149" i="4" a="1"/>
  <c r="C251" i="4" a="1"/>
  <c r="E251" i="4" a="1"/>
  <c r="F181" i="4" a="1"/>
  <c r="C181" i="4" a="1"/>
  <c r="D181" i="4" a="1"/>
  <c r="E181" i="4" a="1"/>
  <c r="D79" i="4" a="1"/>
  <c r="C175" i="4" a="1"/>
  <c r="D73" i="4" a="1"/>
  <c r="F175" i="4" a="1"/>
  <c r="D175" i="4" a="1"/>
  <c r="E175" i="4" a="1"/>
  <c r="F228" i="4" a="1"/>
  <c r="C228" i="4" a="1"/>
  <c r="E228" i="4" a="1"/>
  <c r="D228" i="4" a="1"/>
  <c r="D126" i="4" a="1"/>
  <c r="F212" i="4" a="1"/>
  <c r="E212" i="4" a="1"/>
  <c r="D212" i="4" a="1"/>
  <c r="D110" i="4" a="1"/>
  <c r="C212" i="4" a="1"/>
  <c r="D154" i="4" a="1"/>
  <c r="E154" i="4" a="1"/>
  <c r="C154" i="4" a="1"/>
  <c r="D52" i="4" a="1"/>
  <c r="F154" i="4" a="1"/>
  <c r="C223" i="4" a="1"/>
  <c r="D121" i="4" a="1"/>
  <c r="E223" i="4" a="1"/>
  <c r="F223" i="4" a="1"/>
  <c r="D223" i="4" a="1"/>
  <c r="D198" i="4" a="1"/>
  <c r="F198" i="4" a="1"/>
  <c r="C198" i="4" a="1"/>
  <c r="D96" i="4" a="1"/>
  <c r="E198" i="4" a="1"/>
  <c r="C209" i="4" a="1"/>
  <c r="D107" i="4" a="1"/>
  <c r="E209" i="4" a="1"/>
  <c r="D209" i="4" a="1"/>
  <c r="F209" i="4" a="1"/>
  <c r="E183" i="4" a="1"/>
  <c r="C183" i="4" a="1"/>
  <c r="F183" i="4" a="1"/>
  <c r="D183" i="4" a="1"/>
  <c r="D81" i="4" a="1"/>
  <c r="D59" i="4" a="1"/>
  <c r="F161" i="4" a="1"/>
  <c r="E161" i="4" a="1"/>
  <c r="C161" i="4" a="1"/>
  <c r="D161" i="4" a="1"/>
  <c r="F207" i="4" a="1"/>
  <c r="D207" i="4" a="1"/>
  <c r="E207" i="4" a="1"/>
  <c r="D105" i="4" a="1"/>
  <c r="C207" i="4" a="1"/>
  <c r="E153" i="4" a="1"/>
  <c r="D51" i="4" a="1"/>
  <c r="C153" i="4" a="1"/>
  <c r="F153" i="4" a="1"/>
  <c r="D153" i="4" a="1"/>
  <c r="D173" i="4" a="1"/>
  <c r="F173" i="4" a="1"/>
  <c r="D71" i="4" a="1"/>
  <c r="E173" i="4" a="1"/>
  <c r="C173" i="4" a="1"/>
  <c r="D104" i="4" a="1"/>
  <c r="E206" i="4" a="1"/>
  <c r="C206" i="4" a="1"/>
  <c r="F206" i="4" a="1"/>
  <c r="D206" i="4" a="1"/>
  <c r="D184" i="4" a="1"/>
  <c r="E184" i="4" a="1"/>
  <c r="F184" i="4" a="1"/>
  <c r="C184" i="4" a="1"/>
  <c r="D82" i="4" a="1"/>
  <c r="F189" i="4" a="1"/>
  <c r="D87" i="4" a="1"/>
  <c r="E189" i="4" a="1"/>
  <c r="C189" i="4" a="1"/>
  <c r="D189" i="4" a="1"/>
  <c r="D166" i="4" a="1"/>
  <c r="E166" i="4" a="1"/>
  <c r="C166" i="4" a="1"/>
  <c r="D64" i="4" a="1"/>
  <c r="F166" i="4" a="1"/>
  <c r="D158" i="4" a="1"/>
  <c r="F158" i="4" a="1"/>
  <c r="E158" i="4" a="1"/>
  <c r="D56" i="4" a="1"/>
  <c r="C158" i="4" a="1"/>
  <c r="E188" i="4" a="1"/>
  <c r="C188" i="4" a="1"/>
  <c r="D86" i="4" a="1"/>
  <c r="D188" i="4" a="1"/>
  <c r="F188" i="4" a="1"/>
  <c r="D220" i="4" a="1"/>
  <c r="D118" i="4" a="1"/>
  <c r="C220" i="4" a="1"/>
  <c r="E220" i="4" a="1"/>
  <c r="F220" i="4" a="1"/>
  <c r="D230" i="4" a="1"/>
  <c r="F230" i="4" a="1"/>
  <c r="E230" i="4" a="1"/>
  <c r="C230" i="4" a="1"/>
  <c r="D128" i="4" a="1"/>
  <c r="E237" i="4" a="1"/>
  <c r="D135" i="4" a="1"/>
  <c r="C237" i="4" a="1"/>
  <c r="D237" i="4" a="1"/>
  <c r="F237" i="4" a="1"/>
  <c r="F238" i="4" a="1"/>
  <c r="D136" i="4" a="1"/>
  <c r="D238" i="4" a="1"/>
  <c r="C238" i="4" a="1"/>
  <c r="E238" i="4" a="1"/>
  <c r="D131" i="4" a="1"/>
  <c r="C233" i="4" a="1"/>
  <c r="D233" i="4" a="1"/>
  <c r="F233" i="4" a="1"/>
  <c r="E233" i="4" a="1"/>
  <c r="C241" i="4" a="1"/>
  <c r="E241" i="4" a="1"/>
  <c r="F241" i="4" a="1"/>
  <c r="D241" i="4" a="1"/>
  <c r="D139" i="4" a="1"/>
  <c r="E170" i="4" a="1"/>
  <c r="C170" i="4" a="1"/>
  <c r="D170" i="4" a="1"/>
  <c r="D68" i="4" a="1"/>
  <c r="F170" i="4" a="1"/>
  <c r="F170" i="4" l="1"/>
  <c r="D68" i="4"/>
  <c r="D170" i="4"/>
  <c r="C170" i="4"/>
  <c r="E170" i="4"/>
  <c r="D139" i="4"/>
  <c r="D241" i="4"/>
  <c r="F241" i="4"/>
  <c r="E241" i="4"/>
  <c r="C241" i="4"/>
  <c r="E233" i="4"/>
  <c r="F233" i="4"/>
  <c r="D233" i="4"/>
  <c r="C233" i="4"/>
  <c r="D131" i="4"/>
  <c r="E238" i="4"/>
  <c r="C238" i="4"/>
  <c r="D238" i="4"/>
  <c r="D136" i="4"/>
  <c r="F238" i="4"/>
  <c r="F237" i="4"/>
  <c r="D237" i="4"/>
  <c r="C237" i="4"/>
  <c r="D135" i="4"/>
  <c r="E237" i="4"/>
  <c r="D128" i="4"/>
  <c r="C230" i="4"/>
  <c r="E230" i="4"/>
  <c r="F230" i="4"/>
  <c r="D230" i="4"/>
  <c r="F220" i="4"/>
  <c r="E220" i="4"/>
  <c r="C220" i="4"/>
  <c r="D118" i="4"/>
  <c r="D220" i="4"/>
  <c r="F188" i="4"/>
  <c r="D188" i="4"/>
  <c r="D86" i="4"/>
  <c r="C188" i="4"/>
  <c r="E188" i="4"/>
  <c r="C158" i="4"/>
  <c r="D56" i="4"/>
  <c r="E158" i="4"/>
  <c r="F158" i="4"/>
  <c r="D158" i="4"/>
  <c r="F166" i="4"/>
  <c r="D64" i="4"/>
  <c r="C166" i="4"/>
  <c r="E166" i="4"/>
  <c r="D166" i="4"/>
  <c r="D189" i="4"/>
  <c r="C189" i="4"/>
  <c r="E189" i="4"/>
  <c r="D87" i="4"/>
  <c r="F189" i="4"/>
  <c r="D82" i="4"/>
  <c r="C184" i="4"/>
  <c r="F184" i="4"/>
  <c r="E184" i="4"/>
  <c r="D184" i="4"/>
  <c r="D206" i="4"/>
  <c r="F206" i="4"/>
  <c r="C206" i="4"/>
  <c r="E206" i="4"/>
  <c r="D104" i="4"/>
  <c r="C173" i="4"/>
  <c r="E173" i="4"/>
  <c r="D71" i="4"/>
  <c r="F173" i="4"/>
  <c r="D173" i="4"/>
  <c r="D153" i="4"/>
  <c r="F153" i="4"/>
  <c r="C153" i="4"/>
  <c r="D51" i="4"/>
  <c r="E153" i="4"/>
  <c r="C207" i="4"/>
  <c r="D105" i="4"/>
  <c r="E207" i="4"/>
  <c r="D207" i="4"/>
  <c r="F207" i="4"/>
  <c r="D161" i="4"/>
  <c r="C161" i="4"/>
  <c r="E161" i="4"/>
  <c r="F161" i="4"/>
  <c r="D59" i="4"/>
  <c r="D81" i="4"/>
  <c r="D183" i="4"/>
  <c r="F183" i="4"/>
  <c r="C183" i="4"/>
  <c r="E183" i="4"/>
  <c r="F209" i="4"/>
  <c r="D209" i="4"/>
  <c r="E209" i="4"/>
  <c r="D107" i="4"/>
  <c r="C209" i="4"/>
  <c r="E198" i="4"/>
  <c r="D96" i="4"/>
  <c r="C198" i="4"/>
  <c r="F198" i="4"/>
  <c r="D198" i="4"/>
  <c r="D223" i="4"/>
  <c r="F223" i="4"/>
  <c r="E223" i="4"/>
  <c r="D121" i="4"/>
  <c r="C223" i="4"/>
  <c r="F154" i="4"/>
  <c r="D52" i="4"/>
  <c r="C154" i="4"/>
  <c r="E154" i="4"/>
  <c r="D154" i="4"/>
  <c r="C212" i="4"/>
  <c r="D110" i="4"/>
  <c r="D212" i="4"/>
  <c r="E212" i="4"/>
  <c r="F212" i="4"/>
  <c r="D126" i="4"/>
  <c r="D228" i="4"/>
  <c r="E228" i="4"/>
  <c r="C228" i="4"/>
  <c r="F228" i="4"/>
  <c r="E175" i="4"/>
  <c r="D175" i="4"/>
  <c r="F175" i="4"/>
  <c r="D73" i="4"/>
  <c r="C175" i="4"/>
  <c r="D79" i="4"/>
  <c r="E181" i="4"/>
  <c r="D181" i="4"/>
  <c r="C181" i="4"/>
  <c r="F181" i="4"/>
  <c r="E251" i="4"/>
  <c r="C251" i="4"/>
  <c r="D149" i="4"/>
  <c r="F251" i="4"/>
  <c r="D251" i="4"/>
  <c r="F162" i="4"/>
  <c r="D162" i="4"/>
  <c r="E162" i="4"/>
  <c r="D60" i="4"/>
  <c r="C162" i="4"/>
  <c r="D250" i="4"/>
  <c r="C250" i="4"/>
  <c r="D148" i="4"/>
  <c r="F250" i="4"/>
  <c r="E250" i="4"/>
  <c r="C222" i="4"/>
  <c r="E222" i="4"/>
  <c r="F222" i="4"/>
  <c r="D222" i="4"/>
  <c r="D120" i="4"/>
  <c r="C171" i="4"/>
  <c r="D171" i="4"/>
  <c r="F171" i="4"/>
  <c r="D69" i="4"/>
  <c r="E171" i="4"/>
  <c r="C194" i="4"/>
  <c r="F194" i="4"/>
  <c r="E194" i="4"/>
  <c r="D194" i="4"/>
  <c r="D92" i="4"/>
  <c r="D248" i="4"/>
  <c r="D146" i="4"/>
  <c r="E248" i="4"/>
  <c r="F248" i="4"/>
  <c r="C248" i="4"/>
  <c r="D63" i="4"/>
  <c r="D165" i="4"/>
  <c r="F165" i="4"/>
  <c r="C165" i="4"/>
  <c r="E165" i="4"/>
  <c r="C185" i="4"/>
  <c r="D185" i="4"/>
  <c r="E185" i="4"/>
  <c r="D83" i="4"/>
  <c r="F185" i="4"/>
  <c r="F164" i="4"/>
  <c r="C164" i="4"/>
  <c r="D62" i="4"/>
  <c r="D164" i="4"/>
  <c r="E164" i="4"/>
  <c r="C176" i="4"/>
  <c r="F176" i="4"/>
  <c r="E176" i="4"/>
  <c r="D74" i="4"/>
  <c r="D176" i="4"/>
  <c r="E216" i="4"/>
  <c r="D216" i="4"/>
  <c r="D114" i="4"/>
  <c r="C216" i="4"/>
  <c r="F216" i="4"/>
  <c r="C246" i="4"/>
  <c r="E246" i="4"/>
  <c r="D246" i="4"/>
  <c r="F246" i="4"/>
  <c r="D144" i="4"/>
  <c r="F249" i="4"/>
  <c r="C249" i="4"/>
  <c r="E249" i="4"/>
  <c r="D147" i="4"/>
  <c r="D249" i="4"/>
  <c r="C190" i="4"/>
  <c r="F190" i="4"/>
  <c r="D190" i="4"/>
  <c r="D88" i="4"/>
  <c r="E190" i="4"/>
  <c r="E193" i="4"/>
  <c r="C193" i="4"/>
  <c r="D193" i="4"/>
  <c r="D91" i="4"/>
  <c r="F193" i="4"/>
  <c r="F168" i="4"/>
  <c r="E168" i="4"/>
  <c r="C168" i="4"/>
  <c r="D66" i="4"/>
  <c r="D168" i="4"/>
  <c r="E163" i="4"/>
  <c r="D61" i="4"/>
  <c r="D163" i="4"/>
  <c r="C163" i="4"/>
  <c r="F163" i="4"/>
  <c r="E245" i="4"/>
  <c r="D143" i="4"/>
  <c r="C245" i="4"/>
  <c r="D245" i="4"/>
  <c r="F245" i="4"/>
  <c r="F225" i="4"/>
  <c r="E225" i="4"/>
  <c r="C225" i="4"/>
  <c r="D123" i="4"/>
  <c r="D225" i="4"/>
  <c r="D80" i="4"/>
  <c r="C182" i="4"/>
  <c r="E182" i="4"/>
  <c r="F182" i="4"/>
  <c r="D182" i="4"/>
  <c r="F160" i="4"/>
  <c r="E160" i="4"/>
  <c r="D58" i="4"/>
  <c r="C160" i="4"/>
  <c r="D160" i="4"/>
  <c r="C191" i="4"/>
  <c r="F191" i="4"/>
  <c r="E191" i="4"/>
  <c r="D89" i="4"/>
  <c r="D191" i="4"/>
  <c r="C240" i="4"/>
  <c r="D240" i="4"/>
  <c r="F240" i="4"/>
  <c r="E240" i="4"/>
  <c r="D138" i="4"/>
  <c r="D203" i="4"/>
  <c r="C203" i="4"/>
  <c r="F203" i="4"/>
  <c r="E203" i="4"/>
  <c r="D101" i="4"/>
  <c r="D217" i="4"/>
  <c r="F217" i="4"/>
  <c r="E217" i="4"/>
  <c r="C217" i="4"/>
  <c r="D115" i="4"/>
  <c r="C239" i="4"/>
  <c r="D137" i="4"/>
  <c r="D239" i="4"/>
  <c r="F239" i="4"/>
  <c r="E239" i="4"/>
  <c r="F210" i="4"/>
  <c r="C210" i="4"/>
  <c r="D210" i="4"/>
  <c r="E210" i="4"/>
  <c r="D108" i="4"/>
  <c r="D117" i="4"/>
  <c r="D219" i="4"/>
  <c r="C219" i="4"/>
  <c r="F219" i="4"/>
  <c r="E219" i="4"/>
  <c r="F215" i="4"/>
  <c r="E215" i="4"/>
  <c r="D113" i="4"/>
  <c r="D215" i="4"/>
  <c r="C215" i="4"/>
  <c r="D85" i="4"/>
  <c r="D187" i="4"/>
  <c r="F187" i="4"/>
  <c r="E187" i="4"/>
  <c r="C187" i="4"/>
  <c r="D72" i="4"/>
  <c r="C174" i="4"/>
  <c r="E174" i="4"/>
  <c r="F174" i="4"/>
  <c r="D174" i="4"/>
  <c r="E227" i="4"/>
  <c r="D125" i="4"/>
  <c r="D227" i="4"/>
  <c r="F227" i="4"/>
  <c r="C227" i="4"/>
  <c r="D179" i="4"/>
  <c r="C179" i="4"/>
  <c r="D77" i="4"/>
  <c r="F179" i="4"/>
  <c r="E179" i="4"/>
  <c r="C195" i="4"/>
  <c r="E195" i="4"/>
  <c r="D195" i="4"/>
  <c r="F195" i="4"/>
  <c r="D93" i="4"/>
  <c r="F214" i="4"/>
  <c r="C214" i="4"/>
  <c r="D214" i="4"/>
  <c r="E214" i="4"/>
  <c r="D112" i="4"/>
  <c r="E172" i="4"/>
  <c r="F172" i="4"/>
  <c r="D70" i="4"/>
  <c r="D172" i="4"/>
  <c r="C172" i="4"/>
  <c r="C243" i="4"/>
  <c r="D141" i="4"/>
  <c r="D243" i="4"/>
  <c r="F243" i="4"/>
  <c r="E243" i="4"/>
  <c r="D156" i="4"/>
  <c r="E156" i="4"/>
  <c r="C156" i="4"/>
  <c r="D54" i="4"/>
  <c r="F156" i="4"/>
  <c r="D192" i="4"/>
  <c r="E192" i="4"/>
  <c r="D90" i="4"/>
  <c r="C192" i="4"/>
  <c r="F192" i="4"/>
  <c r="F169" i="4"/>
  <c r="D169" i="4"/>
  <c r="E169" i="4"/>
  <c r="D67" i="4"/>
  <c r="C169" i="4"/>
  <c r="F201" i="4"/>
  <c r="D201" i="4"/>
  <c r="C201" i="4"/>
  <c r="E201" i="4"/>
  <c r="D99" i="4"/>
  <c r="D204" i="4"/>
  <c r="D102" i="4"/>
  <c r="F204" i="4"/>
  <c r="E204" i="4"/>
  <c r="C204" i="4"/>
  <c r="D242" i="4"/>
  <c r="F242" i="4"/>
  <c r="E242" i="4"/>
  <c r="C242" i="4"/>
  <c r="D140" i="4"/>
  <c r="F159" i="4"/>
  <c r="E159" i="4"/>
  <c r="D57" i="4"/>
  <c r="C159" i="4"/>
  <c r="D159" i="4"/>
  <c r="D129" i="4"/>
  <c r="D231" i="4"/>
  <c r="F231" i="4"/>
  <c r="E231" i="4"/>
  <c r="C231" i="4"/>
  <c r="D208" i="4"/>
  <c r="D106" i="4"/>
  <c r="F208" i="4"/>
  <c r="C208" i="4"/>
  <c r="E208" i="4"/>
  <c r="D224" i="4"/>
  <c r="E224" i="4"/>
  <c r="C224" i="4"/>
  <c r="F224" i="4"/>
  <c r="D122" i="4"/>
  <c r="F218" i="4"/>
  <c r="E218" i="4"/>
  <c r="D218" i="4"/>
  <c r="C218" i="4"/>
  <c r="D116" i="4"/>
  <c r="D205" i="4"/>
  <c r="F205" i="4"/>
  <c r="D103" i="4"/>
  <c r="E205" i="4"/>
  <c r="C205" i="4"/>
  <c r="E157" i="4"/>
  <c r="C157" i="4"/>
  <c r="F157" i="4"/>
  <c r="D157" i="4"/>
  <c r="D55" i="4"/>
  <c r="C200" i="4"/>
  <c r="D98" i="4"/>
  <c r="D200" i="4"/>
  <c r="F200" i="4"/>
  <c r="E200" i="4"/>
  <c r="D229" i="4"/>
  <c r="C229" i="4"/>
  <c r="E229" i="4"/>
  <c r="F229" i="4"/>
  <c r="D127" i="4"/>
  <c r="D252" i="4"/>
  <c r="D150" i="4"/>
  <c r="E252" i="4"/>
  <c r="C252" i="4"/>
  <c r="F252" i="4"/>
  <c r="D145" i="4"/>
  <c r="F247" i="4"/>
  <c r="E247" i="4"/>
  <c r="D247" i="4"/>
  <c r="C247" i="4"/>
  <c r="D211" i="4"/>
  <c r="F211" i="4"/>
  <c r="D109" i="4"/>
  <c r="E211" i="4"/>
  <c r="C211" i="4"/>
  <c r="D226" i="4"/>
  <c r="E226" i="4"/>
  <c r="D124" i="4"/>
  <c r="F226" i="4"/>
  <c r="C226" i="4"/>
  <c r="C234" i="4"/>
  <c r="D234" i="4"/>
  <c r="F234" i="4"/>
  <c r="E234" i="4"/>
  <c r="D132" i="4"/>
  <c r="D97" i="4"/>
  <c r="F199" i="4"/>
  <c r="C199" i="4"/>
  <c r="D199" i="4"/>
  <c r="E199" i="4"/>
  <c r="D100" i="4"/>
  <c r="E202" i="4"/>
  <c r="D202" i="4"/>
  <c r="C202" i="4"/>
  <c r="F202" i="4"/>
  <c r="E178" i="4"/>
  <c r="F178" i="4"/>
  <c r="C178" i="4"/>
  <c r="D178" i="4"/>
  <c r="D76" i="4"/>
  <c r="F232" i="4"/>
  <c r="E232" i="4"/>
  <c r="D232" i="4"/>
  <c r="C232" i="4"/>
  <c r="D130" i="4"/>
  <c r="F235" i="4"/>
  <c r="C235" i="4"/>
  <c r="D133" i="4"/>
  <c r="D235" i="4"/>
  <c r="E235" i="4"/>
  <c r="D134" i="4"/>
  <c r="E236" i="4"/>
  <c r="C236" i="4"/>
  <c r="F236" i="4"/>
  <c r="D236" i="4"/>
  <c r="D244" i="4"/>
  <c r="E244" i="4"/>
  <c r="F244" i="4"/>
  <c r="C244" i="4"/>
  <c r="D142" i="4"/>
  <c r="D95" i="4"/>
  <c r="E197" i="4"/>
  <c r="F197" i="4"/>
  <c r="D197" i="4"/>
  <c r="C197" i="4"/>
  <c r="D84" i="4"/>
  <c r="E186" i="4"/>
  <c r="C186" i="4"/>
  <c r="F186" i="4"/>
  <c r="D186" i="4"/>
  <c r="E180" i="4"/>
  <c r="D180" i="4"/>
  <c r="F180" i="4"/>
  <c r="C180" i="4"/>
  <c r="D78" i="4"/>
  <c r="F221" i="4"/>
  <c r="C221" i="4"/>
  <c r="D119" i="4"/>
  <c r="D221" i="4"/>
  <c r="E221" i="4"/>
  <c r="F196" i="4"/>
  <c r="D196" i="4"/>
  <c r="D94" i="4"/>
  <c r="C196" i="4"/>
  <c r="E196" i="4"/>
  <c r="D213" i="4"/>
  <c r="F213" i="4"/>
  <c r="E213" i="4"/>
  <c r="C213" i="4"/>
  <c r="D111" i="4"/>
  <c r="E177" i="4"/>
  <c r="D177" i="4"/>
  <c r="C177" i="4"/>
  <c r="D75" i="4"/>
  <c r="F177" i="4"/>
  <c r="E155" i="4"/>
  <c r="F155" i="4"/>
  <c r="D155" i="4"/>
  <c r="D53" i="4"/>
  <c r="C155" i="4"/>
  <c r="D65" i="4"/>
  <c r="D167" i="4"/>
  <c r="C167" i="4"/>
  <c r="E167" i="4"/>
  <c r="F167" i="4"/>
  <c r="G31" i="3"/>
  <c r="G102" i="3"/>
  <c r="G94" i="3"/>
  <c r="G99" i="3"/>
  <c r="G98" i="3"/>
  <c r="G91" i="3"/>
  <c r="G81" i="3"/>
  <c r="G49" i="3"/>
  <c r="G19" i="3"/>
  <c r="G27" i="3"/>
  <c r="G50" i="3"/>
  <c r="G45" i="3"/>
  <c r="G67" i="3"/>
  <c r="G34" i="3"/>
  <c r="G68" i="3"/>
  <c r="G22" i="3"/>
  <c r="G44" i="3"/>
  <c r="G70" i="3"/>
  <c r="G59" i="3"/>
  <c r="G84" i="3"/>
  <c r="G15" i="3"/>
  <c r="G73" i="3"/>
  <c r="G89" i="3"/>
  <c r="G36" i="3"/>
  <c r="G42" i="3"/>
  <c r="G112" i="3"/>
  <c r="G23" i="3"/>
  <c r="G111" i="3"/>
  <c r="G83" i="3"/>
  <c r="G32" i="3"/>
  <c r="G55" i="3"/>
  <c r="G109" i="3"/>
  <c r="G26" i="3"/>
  <c r="G46" i="3"/>
  <c r="G25" i="3"/>
  <c r="G37" i="3"/>
  <c r="G77" i="3"/>
  <c r="G107" i="3"/>
  <c r="G110" i="3"/>
  <c r="G51" i="3"/>
  <c r="G54" i="3"/>
  <c r="G29" i="3"/>
  <c r="G24" i="3"/>
  <c r="G106" i="3"/>
  <c r="G86" i="3"/>
  <c r="G43" i="3"/>
  <c r="G21" i="3"/>
  <c r="G52" i="3"/>
  <c r="G101" i="3"/>
  <c r="G64" i="3"/>
  <c r="G78" i="3"/>
  <c r="G100" i="3"/>
  <c r="G71" i="3"/>
  <c r="G80" i="3"/>
  <c r="G76" i="3"/>
  <c r="G48" i="3"/>
  <c r="G35" i="3"/>
  <c r="G88" i="3"/>
  <c r="G40" i="3"/>
  <c r="G56" i="3"/>
  <c r="G75" i="3"/>
  <c r="G33" i="3"/>
  <c r="G104" i="3"/>
  <c r="G17" i="3"/>
  <c r="G53" i="3"/>
  <c r="G30" i="3"/>
  <c r="G62" i="3"/>
  <c r="G65" i="3"/>
  <c r="G103" i="3"/>
  <c r="G20" i="3"/>
  <c r="G92" i="3"/>
  <c r="G69" i="3"/>
  <c r="G85" i="3"/>
  <c r="G79" i="3"/>
  <c r="G66" i="3"/>
  <c r="G18" i="3"/>
  <c r="G61" i="3"/>
  <c r="G90" i="3"/>
  <c r="G113" i="3"/>
  <c r="G108" i="3"/>
  <c r="G72" i="3"/>
  <c r="G87" i="3"/>
  <c r="G95" i="3"/>
  <c r="G60" i="3"/>
  <c r="G63" i="3"/>
  <c r="G39" i="3"/>
  <c r="G93" i="3"/>
  <c r="G96" i="3"/>
  <c r="G97" i="3"/>
  <c r="G105" i="3"/>
  <c r="G58" i="3"/>
  <c r="G47" i="3"/>
  <c r="G41" i="3"/>
  <c r="G82" i="3"/>
  <c r="G57" i="3"/>
  <c r="G74" i="3"/>
  <c r="G38" i="3"/>
  <c r="G16" i="3"/>
  <c r="G28" i="3"/>
  <c r="F114" i="3"/>
  <c r="F120" i="3" s="1" a="1"/>
  <c r="F120" i="3" s="1"/>
  <c r="G14" i="3"/>
  <c r="D18" i="4" a="1"/>
  <c r="D13" i="4" a="1"/>
  <c r="E18" i="4" a="1"/>
  <c r="D21" i="4" a="1"/>
  <c r="G18" i="4" a="1"/>
  <c r="F18" i="4" a="1"/>
  <c r="F18" i="4" l="1"/>
  <c r="G18" i="4"/>
  <c r="D21" i="4"/>
  <c r="E18" i="4"/>
  <c r="D13" i="4"/>
  <c r="D18" i="4"/>
  <c r="G114" i="3"/>
  <c r="F121" i="3" s="1" a="1"/>
  <c r="F121" i="3" s="1"/>
  <c r="F17" i="4" a="1"/>
  <c r="E17" i="4" a="1"/>
  <c r="G17" i="4" a="1"/>
  <c r="B6" i="4" a="1"/>
  <c r="D14" i="4" a="1"/>
  <c r="D17" i="4" a="1"/>
  <c r="D17" i="4" l="1"/>
  <c r="D14" i="4"/>
  <c r="B6" i="4"/>
  <c r="G17" i="4"/>
  <c r="E17" i="4"/>
  <c r="F17"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<sst xmlns="http://schemas.openxmlformats.org/spreadsheetml/2006/main" count="425" uniqueCount="272">
  <si>
    <t>A Step Change in the Event Rate (Projected Cures)</t>
  </si>
  <si>
    <t>ModelRisk example  ·  General use  ·  GU-11</t>
  </si>
  <si>
    <t>How many lives will a cure save if nobody knows when it will arrive?  A step change at an uncertain time.</t>
  </si>
  <si>
    <t>Next:  Inputs  ▸</t>
  </si>
  <si>
    <t>Model card</t>
  </si>
  <si>
    <t>Industry</t>
  </si>
  <si>
    <t>General use</t>
  </si>
  <si>
    <t>Difficulty</t>
  </si>
  <si>
    <t>★★☆☆☆   A Poisson series with a trend, thinned by a binomial from an uncertain month on.</t>
  </si>
  <si>
    <t>Business question</t>
  </si>
  <si>
    <t>Deaths from a disease run at 88 a month and rise by 1.3 a month. A cure that prevents 30% of deaths will be available some time between month 20 and month 50. How many deaths should the health service plan for over the next 100 months, how many lives will the cure save, and what is each month of earlier availability worth?</t>
  </si>
  <si>
    <t>Who it is for</t>
  </si>
  <si>
    <t>Anyone forecasting events whose rate changes at an uncertain time: a new treatment, a regulation, a competitor, a process improvement.</t>
  </si>
  <si>
    <t>Main outputs</t>
  </si>
  <si>
    <t>Deaths over 100 months with and without the cure · lives saved at P10 / median / P90 · lives saved per month of earlier availability · monthly bands.</t>
  </si>
  <si>
    <t>ModelRisk techniques</t>
  </si>
  <si>
    <t>A Poisson count per month around a linear trend (VosePoisson) · thinning by a binomial: the deaths that still happen once the cure is available, VoseBinomial(deaths, 1 − fraction prevented) · an uncertain breakthrough month (VoseStepUniform) · the same deaths without and with the cure, so the lives saved are counted exactly.</t>
  </si>
  <si>
    <t>File</t>
  </si>
  <si>
    <t>GU-11 A step change in the event rate projected cures  ·  Version 1.0  ·  October 2026  ·  re-issues the example Projected Cures  ·  built with ModelRisk 10</t>
  </si>
  <si>
    <t>The business question</t>
  </si>
  <si>
    <t>A disease kills about 88 people a month, and the number rises by about 1.3 a month. Researchers are close to a cure that would prevent 30% of the deaths. It will be available in a month somewhere between the 20th and the 50th, each equally likely. A health service wants to plan for the next 100 months: deaths with and without the cure, the lives the cure will save, and how much faster development would be worth. Deaths happen at random, so each month's number is Poisson; once the cure is available, each death is prevented with a 30% chance, so the deaths that still happen are binomial.</t>
  </si>
  <si>
    <t>How the model works</t>
  </si>
  <si>
    <t>Three sheets after this one, read from left to right. Each one feeds the next.</t>
  </si>
  <si>
    <t>1  Inputs</t>
  </si>
  <si>
    <t>The current monthly deaths and their monthly increase, the window in which the cure becomes available, and the fraction of deaths it prevents.</t>
  </si>
  <si>
    <t>2  Months</t>
  </si>
  <si>
    <t>Each month's deaths without the cure are VosePoisson(88 + 1.3 × month). From the breakthrough month on, VoseBinomial(deaths, 1 − 30%) gives the deaths that still happen; before it, they all do. The difference is the lives saved.</t>
  </si>
  <si>
    <t>3  Results</t>
  </si>
  <si>
    <t>The 100-month totals, the lives saved, the value of each month of earlier availability, and monthly bands of deaths with the cure.</t>
  </si>
  <si>
    <t>How to use it</t>
  </si>
  <si>
    <t>Step 1</t>
  </si>
  <si>
    <t>Set the current rate, the trend and the cure on the Inputs sheet.</t>
  </si>
  <si>
    <t>Step 2</t>
  </si>
  <si>
    <t>Run a simulation from the ModelRisk ribbon (10,000 samples with a fixed seed are set).</t>
  </si>
  <si>
    <t>Step 3</t>
  </si>
  <si>
    <t>Compare the lives saved with the cost of bringing the cure forward by a month.</t>
  </si>
  <si>
    <t>Workbook map</t>
  </si>
  <si>
    <t>Inputs</t>
  </si>
  <si>
    <t>Current deaths, trend, and the cure.</t>
  </si>
  <si>
    <t>Months</t>
  </si>
  <si>
    <t>The breakthrough month and 100 months of deaths; outputs and checks.</t>
  </si>
  <si>
    <t>Results</t>
  </si>
  <si>
    <t>Totals, lives saved and monthly bands.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</si>
  <si>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</si>
  <si>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</si>
  <si>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</si>
  <si>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</si>
  <si>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</si>
  <si>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</si>
  <si>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</si>
  <si>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</si>
  <si>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</si>
  <si>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</si>
  <si>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</si>
  <si>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</si>
  <si>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Month</t>
  </si>
  <si>
    <t>Month 1 is the first month of the plan.</t>
  </si>
  <si>
    <t>Breakthrough month</t>
  </si>
  <si>
    <t>The first month in which the cure prevents deaths.</t>
  </si>
  <si>
    <t>Key assumptions and limitations</t>
  </si>
  <si>
    <t>Poisson</t>
  </si>
  <si>
    <t>Deaths happen independently at a steady rate within a month.</t>
  </si>
  <si>
    <t>Cure</t>
  </si>
  <si>
    <t>From its first month the cure prevents each death with the same probability; there is no ramp-up.</t>
  </si>
  <si>
    <t>Trend</t>
  </si>
  <si>
    <t>Linear, as in the original example; it continues whether or not the cure arrives.</t>
  </si>
  <si>
    <t>Data</t>
  </si>
  <si>
    <t>The rates, the window and the effect are those of ModelRisk's earlier Projected Cures example.</t>
  </si>
  <si>
    <t>ModelRisk functions used</t>
  </si>
  <si>
    <t>VoseStepUniform</t>
  </si>
  <si>
    <t>The breakthrough month: each month from 20 to 50 equally likely.</t>
  </si>
  <si>
    <t>VosePoisson</t>
  </si>
  <si>
    <t>Each month's deaths without the cure.</t>
  </si>
  <si>
    <t>VoseBinomial</t>
  </si>
  <si>
    <t>The deaths that still happen once the cure is available.</t>
  </si>
  <si>
    <t>VoseOutput</t>
  </si>
  <si>
    <t>Monthly deaths with the cure as an output range, and the totals.</t>
  </si>
  <si>
    <t>VoseSimMean, VoseSimPercentile</t>
  </si>
  <si>
    <t>Statistics of the simulation, the monthly bands and means.</t>
  </si>
  <si>
    <t>Further reading</t>
  </si>
  <si>
    <t>Forecasting events</t>
  </si>
  <si>
    <t>Vose, D. (2008). Risk Analysis: A Quantitative Guide, 3rd edition. Wiley: forecasting random events with a change in rate.</t>
  </si>
  <si>
    <t>© 2026 Vose Software   ·   www.vosesoftware.com   ·   An illustrative example: the figures are invented for teaching and do not describe a real company, project or asset.</t>
  </si>
  <si>
    <t>INPUTS   ·   Deaths now, their trend and the cure. Change only the yellow cells.</t>
  </si>
  <si>
    <t>◂  About</t>
  </si>
  <si>
    <t>Next:  Months  ▸</t>
  </si>
  <si>
    <t>How to read this sheet:  yellow cells are inputs.</t>
  </si>
  <si>
    <t>1   Deaths now</t>
  </si>
  <si>
    <t>The current rate and its trend.</t>
  </si>
  <si>
    <t>Assumption</t>
  </si>
  <si>
    <t>Unit</t>
  </si>
  <si>
    <t>Value in model</t>
  </si>
  <si>
    <t>Uncertainty</t>
  </si>
  <si>
    <t>Basis / source (illustrative)</t>
  </si>
  <si>
    <t>Deaths per month now</t>
  </si>
  <si>
    <t>deaths</t>
  </si>
  <si>
    <t>Fixed</t>
  </si>
  <si>
    <t>Increase in deaths per month, each month</t>
  </si>
  <si>
    <t>2   The cure</t>
  </si>
  <si>
    <t>When it becomes available, and what it does.</t>
  </si>
  <si>
    <t>Earliest month it becomes available</t>
  </si>
  <si>
    <t>month</t>
  </si>
  <si>
    <t>Latest month it becomes available</t>
  </si>
  <si>
    <t>Each month in the window equally likely.</t>
  </si>
  <si>
    <t>Fraction of deaths it prevents</t>
  </si>
  <si>
    <t>probability</t>
  </si>
  <si>
    <t>MONTHS   ·   The breakthrough month and 100 months of deaths without and with the cure.</t>
  </si>
  <si>
    <t>◂  Inputs</t>
  </si>
  <si>
    <t>Next:  Results  ▸</t>
  </si>
  <si>
    <t>1   The breakthrough</t>
  </si>
  <si>
    <t>VoseStepUniform(earliest, latest): each whole month in the window equally likely</t>
  </si>
  <si>
    <t>2   Month by month</t>
  </si>
  <si>
    <t>The same deaths without and with the cure: the cure removes some of them.</t>
  </si>
  <si>
    <t>Expected deaths</t>
  </si>
  <si>
    <t>Cure available?</t>
  </si>
  <si>
    <t>Deaths without the cure</t>
  </si>
  <si>
    <t>Deaths with the cure</t>
  </si>
  <si>
    <t>Lives saved</t>
  </si>
  <si>
    <t>How it is calculated</t>
  </si>
  <si>
    <t>λ</t>
  </si>
  <si>
    <t>1 = yes</t>
  </si>
  <si>
    <t>Expected deaths = deaths now + increase × month</t>
  </si>
  <si>
    <t>Cure available from the breakthrough month on</t>
  </si>
  <si>
    <t>Without the cure: VosePoisson(expected deaths)</t>
  </si>
  <si>
    <t>With the cure: VoseBinomial(deaths without, 1 − fraction prevented) once available</t>
  </si>
  <si>
    <t>Lives saved = without − with: the same deaths, so the difference is exact</t>
  </si>
  <si>
    <t>Total</t>
  </si>
  <si>
    <t>3   Value in this iteration</t>
  </si>
  <si>
    <t>Key outputs, recorded by ModelRisk at every sample (VoseOutput). Their statistics appear on the Results sheet.</t>
  </si>
  <si>
    <t>Output</t>
  </si>
  <si>
    <t>Value</t>
  </si>
  <si>
    <t>Meaning</t>
  </si>
  <si>
    <t>Deaths over 100 months, without the cure</t>
  </si>
  <si>
    <t>Deaths over 100 months, with the cure</t>
  </si>
  <si>
    <t>Lives saved by the cure</t>
  </si>
  <si>
    <t>Expected deaths without the cure</t>
  </si>
  <si>
    <t>The same in every iteration.</t>
  </si>
  <si>
    <t>Lives saved per month of earlier availability, at the window's middle</t>
  </si>
  <si>
    <t>Bringing the cure forward a month prevents that month's share of deaths.</t>
  </si>
  <si>
    <t>4   Model checks</t>
  </si>
  <si>
    <t>Should all read OK. A CHECK means an input has been set outside the range the model is built for.</t>
  </si>
  <si>
    <t>The window lies within the 100 months, earliest ≤ latest</t>
  </si>
  <si>
    <t>Expected deaths are not negative in any month</t>
  </si>
  <si>
    <t>RESULTS   ·   Filled in automatically from the last simulation. Run a simulation after changing any input.</t>
  </si>
  <si>
    <t>◂  Months</t>
  </si>
  <si>
    <t>1   Deaths and lives saved over 100 months</t>
  </si>
  <si>
    <t>Mean deaths per month</t>
  </si>
  <si>
    <t>The same deaths without and with the cure.</t>
  </si>
  <si>
    <t>Measure</t>
  </si>
  <si>
    <t>Mean deaths with the cure</t>
  </si>
  <si>
    <t>Mean lives saved by the cure</t>
  </si>
  <si>
    <t>Lives saved per month the cure comes earlier</t>
  </si>
  <si>
    <t>10th pct</t>
  </si>
  <si>
    <t>Median</t>
  </si>
  <si>
    <t>90th pct</t>
  </si>
  <si>
    <t>Mean</t>
  </si>
  <si>
    <t>Standard deviation, deaths with the cure</t>
  </si>
  <si>
    <t>Standard deviation, deaths without the cure</t>
  </si>
  <si>
    <t>Deaths per month with the cure — 10th / 50th / 90th percentile band</t>
  </si>
  <si>
    <t>2   How to read these results</t>
  </si>
  <si>
    <t>•  Without the cure about 15,400 people would die over the 100 months. The cure saves about 3,500 of them on average, and between about 3,000 and 3,900 (10th to 90th percentile) depending on when it arrives.</t>
  </si>
  <si>
    <t>•  Each month the cure comes earlier saves about 40 lives: 30% of a month's deaths in the middle of the window. That is the number to set against the cost of faster development.</t>
  </si>
  <si>
    <t>•  The breakthrough month dominates the uncertainty: the total with the cure varies about three times as much as the total without it, which reflects only the randomness of deaths.</t>
  </si>
  <si>
    <t>•  The mean line drops gradually between months 20 and 50 because the breakthrough month differs between iterations; in any one iteration the drop is a single step.</t>
  </si>
  <si>
    <t>Chart data</t>
  </si>
  <si>
    <t>Statistics of the last simulation behind the charts and the ranking above. Grouped: click + in the left margin to show them.</t>
  </si>
  <si>
    <t>Period</t>
  </si>
  <si>
    <t>Without the cure</t>
  </si>
  <si>
    <t>With the cure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</si>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</sst>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quot;–&quot;_)"/>
    <numFmt numFmtId="165" formatCode="#,##0.0_);\(#,##0.0\);&quot;–&quot;_)"/>
    <numFmt numFmtId="166" formatCode="#,##0_);\(#,##0\);&quot;–&quot;_);&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5">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1" fontId="1" fillId="2" borderId="7" xfId="1" applyNumberFormat="1" applyBorder="1">
      <alignment horizontal="right" vertical="center"/>
    </xf>
    <xf numFmtId="9" fontId="1" fillId="2" borderId="7" xfId="1" applyNumberFormat="1" applyBorder="1">
      <alignment horizontal="right" vertical="center"/>
    </xf>
    <xf numFmtId="1" fontId="2" fillId="3" borderId="7" xfId="2"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5" fontId="3" fillId="0" borderId="8" xfId="3" applyNumberFormat="1" applyBorder="1">
      <alignment horizontal="right" vertical="center"/>
    </xf>
    <xf numFmtId="1" fontId="3" fillId="0" borderId="8" xfId="3" applyNumberFormat="1" applyBorder="1">
      <alignment horizontal="right" vertical="center"/>
    </xf>
    <xf numFmtId="164" fontId="2" fillId="3" borderId="7" xfId="2" applyNumberFormat="1" applyBorder="1">
      <alignment horizontal="right" vertical="center"/>
    </xf>
    <xf numFmtId="164" fontId="4" fillId="4" borderId="9" xfId="4" applyNumberFormat="1" applyBorder="1">
      <alignment horizontal="right" vertical="center"/>
    </xf>
    <xf numFmtId="164" fontId="3" fillId="0" borderId="8" xfId="3" applyNumberFormat="1" applyBorder="1">
      <alignment horizontal="right" vertical="center"/>
    </xf>
    <xf numFmtId="0" fontId="12" fillId="0" borderId="10" xfId="0" applyFont="1" applyBorder="1" applyAlignment="1">
      <alignment horizontal="left" vertical="center" indent="1"/>
    </xf>
    <xf numFmtId="164" fontId="12" fillId="0" borderId="10" xfId="3" applyNumberFormat="1" applyFont="1" applyBorder="1">
      <alignment horizontal="right" vertical="center"/>
    </xf>
    <xf numFmtId="0" fontId="0" fillId="0" borderId="10" xfId="0" applyBorder="1"/>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0" fontId="21" fillId="0" borderId="6" xfId="0" applyFont="1" applyBorder="1" applyAlignment="1">
      <alignment horizontal="left" vertical="center" indent="1"/>
    </xf>
    <xf numFmtId="166" fontId="1" fillId="5" borderId="7" xfId="5" applyNumberFormat="1" applyBorder="1">
      <alignment horizontal="right" vertical="center"/>
    </xf>
    <xf numFmtId="166" fontId="22" fillId="5" borderId="7" xfId="5" applyNumberFormat="1" applyFont="1" applyBorder="1">
      <alignment horizontal="right" vertical="center"/>
    </xf>
    <xf numFmtId="0" fontId="11" fillId="0" borderId="6" xfId="0" applyFont="1" applyBorder="1" applyAlignment="1">
      <alignment horizontal="left" vertical="center" indent="1"/>
    </xf>
    <xf numFmtId="0" fontId="21" fillId="0" borderId="0" xfId="0" applyFont="1" applyAlignment="1">
      <alignment horizontal="left" vertical="center" indent="1"/>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Without the cure</c:v>
          </c:tx>
          <c:spPr>
            <a:ln w="25400">
              <a:solidFill>
                <a:srgbClr val="0E4F92"/>
              </a:solidFill>
              <a:prstDash val="solid"/>
            </a:ln>
          </c:spPr>
          <c:marker>
            <c:symbol val="none"/>
          </c:marker>
          <c:cat>
            <c:strRef>
              <c:f>Results!$B$51:$B$150</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Results!$C$51:$C$150</c:f>
              <c:numCache>
                <c:formatCode>#,##0.00</c:formatCode>
                <c:ptCount val="100"/>
                <c:pt idx="0">
                  <c:v>89.137556877843892</c:v>
                </c:pt>
                <c:pt idx="1">
                  <c:v>90.647132356617831</c:v>
                </c:pt>
                <c:pt idx="2">
                  <c:v>92.047002350117509</c:v>
                </c:pt>
                <c:pt idx="3">
                  <c:v>93.095954797739893</c:v>
                </c:pt>
                <c:pt idx="4">
                  <c:v>94.308615430771539</c:v>
                </c:pt>
                <c:pt idx="5">
                  <c:v>95.74718735936797</c:v>
                </c:pt>
                <c:pt idx="6">
                  <c:v>97.268513425671287</c:v>
                </c:pt>
                <c:pt idx="7">
                  <c:v>98.498874943747182</c:v>
                </c:pt>
                <c:pt idx="8">
                  <c:v>99.524226211310562</c:v>
                </c:pt>
                <c:pt idx="9">
                  <c:v>101.15150757537877</c:v>
                </c:pt>
                <c:pt idx="10">
                  <c:v>102.31621581079054</c:v>
                </c:pt>
                <c:pt idx="11">
                  <c:v>103.47547377368869</c:v>
                </c:pt>
                <c:pt idx="12">
                  <c:v>105.01455072753637</c:v>
                </c:pt>
                <c:pt idx="13">
                  <c:v>106.17310865543277</c:v>
                </c:pt>
                <c:pt idx="14">
                  <c:v>107.58432921646083</c:v>
                </c:pt>
                <c:pt idx="15">
                  <c:v>108.85034251712585</c:v>
                </c:pt>
                <c:pt idx="16">
                  <c:v>110.09550477523877</c:v>
                </c:pt>
                <c:pt idx="17">
                  <c:v>111.45327266363319</c:v>
                </c:pt>
                <c:pt idx="18">
                  <c:v>112.72378618930946</c:v>
                </c:pt>
                <c:pt idx="19">
                  <c:v>114.07755387769389</c:v>
                </c:pt>
                <c:pt idx="20">
                  <c:v>115.2323616180809</c:v>
                </c:pt>
                <c:pt idx="21">
                  <c:v>116.65668283414171</c:v>
                </c:pt>
                <c:pt idx="22">
                  <c:v>118.05150257512875</c:v>
                </c:pt>
                <c:pt idx="23">
                  <c:v>119.19710985549277</c:v>
                </c:pt>
                <c:pt idx="24">
                  <c:v>120.53992699634982</c:v>
                </c:pt>
                <c:pt idx="25">
                  <c:v>121.79228961448072</c:v>
                </c:pt>
                <c:pt idx="26">
                  <c:v>123.12850642532126</c:v>
                </c:pt>
                <c:pt idx="27">
                  <c:v>124.37136856842842</c:v>
                </c:pt>
                <c:pt idx="28">
                  <c:v>125.74458722936147</c:v>
                </c:pt>
                <c:pt idx="29">
                  <c:v>127.17760888044403</c:v>
                </c:pt>
                <c:pt idx="30">
                  <c:v>128.26321316065804</c:v>
                </c:pt>
                <c:pt idx="31">
                  <c:v>129.70748537426871</c:v>
                </c:pt>
                <c:pt idx="32">
                  <c:v>130.87099354967748</c:v>
                </c:pt>
                <c:pt idx="33">
                  <c:v>132.1433571678584</c:v>
                </c:pt>
                <c:pt idx="34">
                  <c:v>133.54282714135707</c:v>
                </c:pt>
                <c:pt idx="35">
                  <c:v>134.97044852242612</c:v>
                </c:pt>
                <c:pt idx="36">
                  <c:v>136.19320966048303</c:v>
                </c:pt>
                <c:pt idx="37">
                  <c:v>137.27101355067754</c:v>
                </c:pt>
                <c:pt idx="38">
                  <c:v>138.66728336416821</c:v>
                </c:pt>
                <c:pt idx="39">
                  <c:v>139.99599979998999</c:v>
                </c:pt>
                <c:pt idx="40">
                  <c:v>141.24866243312167</c:v>
                </c:pt>
                <c:pt idx="41">
                  <c:v>142.43917195859794</c:v>
                </c:pt>
                <c:pt idx="42">
                  <c:v>143.86369318465924</c:v>
                </c:pt>
                <c:pt idx="43">
                  <c:v>145.17735886794341</c:v>
                </c:pt>
                <c:pt idx="44">
                  <c:v>146.58632931646582</c:v>
                </c:pt>
                <c:pt idx="45">
                  <c:v>147.82784139206962</c:v>
                </c:pt>
                <c:pt idx="46">
                  <c:v>149.06635331766589</c:v>
                </c:pt>
                <c:pt idx="47">
                  <c:v>150.63208160408021</c:v>
                </c:pt>
                <c:pt idx="48">
                  <c:v>151.7010350517526</c:v>
                </c:pt>
                <c:pt idx="49">
                  <c:v>152.76153807690383</c:v>
                </c:pt>
                <c:pt idx="50">
                  <c:v>154.49567478373919</c:v>
                </c:pt>
                <c:pt idx="51">
                  <c:v>155.38981949097456</c:v>
                </c:pt>
                <c:pt idx="52">
                  <c:v>156.97934896744837</c:v>
                </c:pt>
                <c:pt idx="53">
                  <c:v>158.25206260313016</c:v>
                </c:pt>
                <c:pt idx="54">
                  <c:v>159.64198209910495</c:v>
                </c:pt>
                <c:pt idx="55">
                  <c:v>160.75158757937896</c:v>
                </c:pt>
                <c:pt idx="56">
                  <c:v>162.10485524276214</c:v>
                </c:pt>
                <c:pt idx="57">
                  <c:v>163.31641582079104</c:v>
                </c:pt>
                <c:pt idx="58">
                  <c:v>164.5396769838492</c:v>
                </c:pt>
                <c:pt idx="59">
                  <c:v>166.13380669033452</c:v>
                </c:pt>
                <c:pt idx="60">
                  <c:v>167.38766938346916</c:v>
                </c:pt>
                <c:pt idx="61">
                  <c:v>168.69463473173658</c:v>
                </c:pt>
                <c:pt idx="62">
                  <c:v>169.87269363468172</c:v>
                </c:pt>
                <c:pt idx="63">
                  <c:v>171.28016400820042</c:v>
                </c:pt>
                <c:pt idx="64">
                  <c:v>172.52942647132357</c:v>
                </c:pt>
                <c:pt idx="65">
                  <c:v>173.94109705485275</c:v>
                </c:pt>
                <c:pt idx="66">
                  <c:v>175.10940547027351</c:v>
                </c:pt>
                <c:pt idx="67">
                  <c:v>176.16705835291765</c:v>
                </c:pt>
                <c:pt idx="68">
                  <c:v>177.67073353667683</c:v>
                </c:pt>
                <c:pt idx="69">
                  <c:v>179.01715085754287</c:v>
                </c:pt>
                <c:pt idx="70">
                  <c:v>180.21851092554627</c:v>
                </c:pt>
                <c:pt idx="71">
                  <c:v>181.52917645882295</c:v>
                </c:pt>
                <c:pt idx="72">
                  <c:v>182.88729436471823</c:v>
                </c:pt>
                <c:pt idx="73">
                  <c:v>184.13105655282763</c:v>
                </c:pt>
                <c:pt idx="74">
                  <c:v>185.43337166858342</c:v>
                </c:pt>
                <c:pt idx="75">
                  <c:v>186.55997799889994</c:v>
                </c:pt>
                <c:pt idx="76">
                  <c:v>187.87879393969698</c:v>
                </c:pt>
                <c:pt idx="77">
                  <c:v>189.17480874043702</c:v>
                </c:pt>
                <c:pt idx="78">
                  <c:v>190.73118655932797</c:v>
                </c:pt>
                <c:pt idx="79">
                  <c:v>191.76743837191859</c:v>
                </c:pt>
                <c:pt idx="80">
                  <c:v>193.58792939646983</c:v>
                </c:pt>
                <c:pt idx="81">
                  <c:v>194.43297164858242</c:v>
                </c:pt>
                <c:pt idx="82">
                  <c:v>195.88419420971047</c:v>
                </c:pt>
                <c:pt idx="83">
                  <c:v>197.27421371068553</c:v>
                </c:pt>
                <c:pt idx="84">
                  <c:v>198.44132206610331</c:v>
                </c:pt>
                <c:pt idx="85">
                  <c:v>199.66233311665584</c:v>
                </c:pt>
                <c:pt idx="86">
                  <c:v>201.06375318765939</c:v>
                </c:pt>
                <c:pt idx="87">
                  <c:v>202.52857642882145</c:v>
                </c:pt>
                <c:pt idx="88">
                  <c:v>203.6052802640132</c:v>
                </c:pt>
                <c:pt idx="89">
                  <c:v>205.09680484024202</c:v>
                </c:pt>
                <c:pt idx="90">
                  <c:v>206.6178808940447</c:v>
                </c:pt>
                <c:pt idx="91">
                  <c:v>207.72328616430821</c:v>
                </c:pt>
                <c:pt idx="92">
                  <c:v>208.89934496724837</c:v>
                </c:pt>
                <c:pt idx="93">
                  <c:v>210.12080604030203</c:v>
                </c:pt>
                <c:pt idx="94">
                  <c:v>211.43292164608229</c:v>
                </c:pt>
                <c:pt idx="95">
                  <c:v>212.67338366918347</c:v>
                </c:pt>
                <c:pt idx="96">
                  <c:v>214.19670983549179</c:v>
                </c:pt>
                <c:pt idx="97">
                  <c:v>215.47172358617931</c:v>
                </c:pt>
                <c:pt idx="98">
                  <c:v>216.50447522376118</c:v>
                </c:pt>
                <c:pt idx="99">
                  <c:v>217.96899844992251</c:v>
                </c:pt>
              </c:numCache>
            </c:numRef>
          </c:val>
          <c:smooth val="0"/>
          <c:extLst>
            <c:ext xmlns:c16="http://schemas.microsoft.com/office/drawing/2014/chart" uri="{C3380CC4-5D6E-409C-BE32-E72D297353CC}">
              <c16:uniqueId val="{00000000-1825-49A5-8C4F-F82AF4AC8E21}"/>
            </c:ext>
          </c:extLst>
        </c:ser>
        <c:ser>
          <c:idx val="1"/>
          <c:order val="1"/>
          <c:tx>
            <c:v>With the cure</c:v>
          </c:tx>
          <c:spPr>
            <a:ln w="25400">
              <a:solidFill>
                <a:srgbClr val="B45309"/>
              </a:solidFill>
              <a:prstDash val="dash"/>
            </a:ln>
          </c:spPr>
          <c:marker>
            <c:symbol val="none"/>
          </c:marker>
          <c:cat>
            <c:strRef>
              <c:f>Results!$B$51:$B$150</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Results!$D$51:$D$150</c:f>
              <c:numCache>
                <c:formatCode>#,##0.00</c:formatCode>
                <c:ptCount val="100"/>
                <c:pt idx="0">
                  <c:v>89.137556877843892</c:v>
                </c:pt>
                <c:pt idx="1">
                  <c:v>90.647132356617831</c:v>
                </c:pt>
                <c:pt idx="2">
                  <c:v>92.047002350117509</c:v>
                </c:pt>
                <c:pt idx="3">
                  <c:v>93.095954797739893</c:v>
                </c:pt>
                <c:pt idx="4">
                  <c:v>94.308615430771539</c:v>
                </c:pt>
                <c:pt idx="5">
                  <c:v>95.74718735936797</c:v>
                </c:pt>
                <c:pt idx="6">
                  <c:v>97.268513425671287</c:v>
                </c:pt>
                <c:pt idx="7">
                  <c:v>98.498874943747182</c:v>
                </c:pt>
                <c:pt idx="8">
                  <c:v>99.524226211310562</c:v>
                </c:pt>
                <c:pt idx="9">
                  <c:v>101.15150757537877</c:v>
                </c:pt>
                <c:pt idx="10">
                  <c:v>102.31621581079054</c:v>
                </c:pt>
                <c:pt idx="11">
                  <c:v>103.47547377368869</c:v>
                </c:pt>
                <c:pt idx="12">
                  <c:v>105.01455072753637</c:v>
                </c:pt>
                <c:pt idx="13">
                  <c:v>106.17310865543277</c:v>
                </c:pt>
                <c:pt idx="14">
                  <c:v>107.58432921646083</c:v>
                </c:pt>
                <c:pt idx="15">
                  <c:v>108.85034251712585</c:v>
                </c:pt>
                <c:pt idx="16">
                  <c:v>110.09550477523877</c:v>
                </c:pt>
                <c:pt idx="17">
                  <c:v>111.45327266363319</c:v>
                </c:pt>
                <c:pt idx="18">
                  <c:v>112.72378618930946</c:v>
                </c:pt>
                <c:pt idx="19">
                  <c:v>112.9449972498625</c:v>
                </c:pt>
                <c:pt idx="20">
                  <c:v>112.98674933746688</c:v>
                </c:pt>
                <c:pt idx="21">
                  <c:v>113.24991249562478</c:v>
                </c:pt>
                <c:pt idx="22">
                  <c:v>113.5190759537977</c:v>
                </c:pt>
                <c:pt idx="23">
                  <c:v>113.48802440122006</c:v>
                </c:pt>
                <c:pt idx="24">
                  <c:v>113.53587679383969</c:v>
                </c:pt>
                <c:pt idx="25">
                  <c:v>113.6294814740737</c:v>
                </c:pt>
                <c:pt idx="26">
                  <c:v>113.61283064153207</c:v>
                </c:pt>
                <c:pt idx="27">
                  <c:v>113.48982449122457</c:v>
                </c:pt>
                <c:pt idx="28">
                  <c:v>113.51147557377868</c:v>
                </c:pt>
                <c:pt idx="29">
                  <c:v>113.61233061653083</c:v>
                </c:pt>
                <c:pt idx="30">
                  <c:v>113.42537126856342</c:v>
                </c:pt>
                <c:pt idx="31">
                  <c:v>113.48007400370018</c:v>
                </c:pt>
                <c:pt idx="32">
                  <c:v>113.28866443322165</c:v>
                </c:pt>
                <c:pt idx="33">
                  <c:v>113.09420471023552</c:v>
                </c:pt>
                <c:pt idx="34">
                  <c:v>112.95019750987549</c:v>
                </c:pt>
                <c:pt idx="35">
                  <c:v>112.8124406220311</c:v>
                </c:pt>
                <c:pt idx="36">
                  <c:v>112.33846692334616</c:v>
                </c:pt>
                <c:pt idx="37">
                  <c:v>111.89654482724136</c:v>
                </c:pt>
                <c:pt idx="38">
                  <c:v>111.81984099204961</c:v>
                </c:pt>
                <c:pt idx="39">
                  <c:v>111.48437421871094</c:v>
                </c:pt>
                <c:pt idx="40">
                  <c:v>111.2047602380119</c:v>
                </c:pt>
                <c:pt idx="41">
                  <c:v>110.71943597179859</c:v>
                </c:pt>
                <c:pt idx="42">
                  <c:v>110.38871943597179</c:v>
                </c:pt>
                <c:pt idx="43">
                  <c:v>110.20686034301715</c:v>
                </c:pt>
                <c:pt idx="44">
                  <c:v>109.92334616730837</c:v>
                </c:pt>
                <c:pt idx="45">
                  <c:v>109.31016550827542</c:v>
                </c:pt>
                <c:pt idx="46">
                  <c:v>108.66898344917246</c:v>
                </c:pt>
                <c:pt idx="47">
                  <c:v>108.39761988099404</c:v>
                </c:pt>
                <c:pt idx="48">
                  <c:v>107.67228361418071</c:v>
                </c:pt>
                <c:pt idx="49">
                  <c:v>106.95494774738737</c:v>
                </c:pt>
                <c:pt idx="50">
                  <c:v>108.15865793289665</c:v>
                </c:pt>
                <c:pt idx="51">
                  <c:v>108.76073803690184</c:v>
                </c:pt>
                <c:pt idx="52">
                  <c:v>109.94904745237262</c:v>
                </c:pt>
                <c:pt idx="53">
                  <c:v>110.7726386319316</c:v>
                </c:pt>
                <c:pt idx="54">
                  <c:v>111.74078703935197</c:v>
                </c:pt>
                <c:pt idx="55">
                  <c:v>112.61193059652983</c:v>
                </c:pt>
                <c:pt idx="56">
                  <c:v>113.43237161858093</c:v>
                </c:pt>
                <c:pt idx="57">
                  <c:v>114.33966698334916</c:v>
                </c:pt>
                <c:pt idx="58">
                  <c:v>115.17655882794139</c:v>
                </c:pt>
                <c:pt idx="59">
                  <c:v>116.35376768838442</c:v>
                </c:pt>
                <c:pt idx="60">
                  <c:v>117.18670933546677</c:v>
                </c:pt>
                <c:pt idx="61">
                  <c:v>118.09245462273114</c:v>
                </c:pt>
                <c:pt idx="62">
                  <c:v>118.92804640232012</c:v>
                </c:pt>
                <c:pt idx="63">
                  <c:v>119.84704235211761</c:v>
                </c:pt>
                <c:pt idx="64">
                  <c:v>120.77348867443372</c:v>
                </c:pt>
                <c:pt idx="65">
                  <c:v>121.6242812140607</c:v>
                </c:pt>
                <c:pt idx="66">
                  <c:v>122.56742837141857</c:v>
                </c:pt>
                <c:pt idx="67">
                  <c:v>123.39381969098454</c:v>
                </c:pt>
                <c:pt idx="68">
                  <c:v>124.34456722836141</c:v>
                </c:pt>
                <c:pt idx="69">
                  <c:v>125.32386619330967</c:v>
                </c:pt>
                <c:pt idx="70">
                  <c:v>126.12505625281264</c:v>
                </c:pt>
                <c:pt idx="71">
                  <c:v>126.98539926996349</c:v>
                </c:pt>
                <c:pt idx="72">
                  <c:v>127.984799239962</c:v>
                </c:pt>
                <c:pt idx="73">
                  <c:v>128.97524876243813</c:v>
                </c:pt>
                <c:pt idx="74">
                  <c:v>129.81699084954246</c:v>
                </c:pt>
                <c:pt idx="75">
                  <c:v>130.60458022901145</c:v>
                </c:pt>
                <c:pt idx="76">
                  <c:v>131.42077103855192</c:v>
                </c:pt>
                <c:pt idx="77">
                  <c:v>132.40147007350367</c:v>
                </c:pt>
                <c:pt idx="78">
                  <c:v>133.44607230361518</c:v>
                </c:pt>
                <c:pt idx="79">
                  <c:v>134.27031351567578</c:v>
                </c:pt>
                <c:pt idx="80">
                  <c:v>135.44537226861343</c:v>
                </c:pt>
                <c:pt idx="81">
                  <c:v>136.05340267013349</c:v>
                </c:pt>
                <c:pt idx="82">
                  <c:v>137.15715785789288</c:v>
                </c:pt>
                <c:pt idx="83">
                  <c:v>138.07930396519825</c:v>
                </c:pt>
                <c:pt idx="84">
                  <c:v>138.88104405220261</c:v>
                </c:pt>
                <c:pt idx="85">
                  <c:v>139.83934196709836</c:v>
                </c:pt>
                <c:pt idx="86">
                  <c:v>140.72703635181759</c:v>
                </c:pt>
                <c:pt idx="87">
                  <c:v>141.79278963948198</c:v>
                </c:pt>
                <c:pt idx="88">
                  <c:v>142.37546877343868</c:v>
                </c:pt>
                <c:pt idx="89">
                  <c:v>143.69013450672534</c:v>
                </c:pt>
                <c:pt idx="90">
                  <c:v>144.62033101655084</c:v>
                </c:pt>
                <c:pt idx="91">
                  <c:v>145.34351717585881</c:v>
                </c:pt>
                <c:pt idx="92">
                  <c:v>146.17410870543526</c:v>
                </c:pt>
                <c:pt idx="93">
                  <c:v>147.09325466273313</c:v>
                </c:pt>
                <c:pt idx="94">
                  <c:v>148.00975048752437</c:v>
                </c:pt>
                <c:pt idx="95">
                  <c:v>148.90474523726186</c:v>
                </c:pt>
                <c:pt idx="96">
                  <c:v>149.91819590979549</c:v>
                </c:pt>
                <c:pt idx="97">
                  <c:v>150.8346417320866</c:v>
                </c:pt>
                <c:pt idx="98">
                  <c:v>151.52622631131555</c:v>
                </c:pt>
                <c:pt idx="99">
                  <c:v>152.57677883894195</c:v>
                </c:pt>
              </c:numCache>
            </c:numRef>
          </c:val>
          <c:smooth val="0"/>
          <c:extLst>
            <c:ext xmlns:c16="http://schemas.microsoft.com/office/drawing/2014/chart" uri="{C3380CC4-5D6E-409C-BE32-E72D297353CC}">
              <c16:uniqueId val="{00000001-1825-49A5-8C4F-F82AF4AC8E2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10"/>
        <c:tickMarkSkip val="10"/>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Deaths per month</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Results!$B$153:$B$252</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Results!$E$153:$E$252</c:f>
              <c:numCache>
                <c:formatCode>#,##0.00</c:formatCode>
                <c:ptCount val="100"/>
                <c:pt idx="0">
                  <c:v>102</c:v>
                </c:pt>
                <c:pt idx="1">
                  <c:v>103</c:v>
                </c:pt>
                <c:pt idx="2">
                  <c:v>105</c:v>
                </c:pt>
                <c:pt idx="3">
                  <c:v>106</c:v>
                </c:pt>
                <c:pt idx="4">
                  <c:v>107</c:v>
                </c:pt>
                <c:pt idx="5">
                  <c:v>108</c:v>
                </c:pt>
                <c:pt idx="6">
                  <c:v>110</c:v>
                </c:pt>
                <c:pt idx="7">
                  <c:v>111</c:v>
                </c:pt>
                <c:pt idx="8">
                  <c:v>112</c:v>
                </c:pt>
                <c:pt idx="9">
                  <c:v>114</c:v>
                </c:pt>
                <c:pt idx="10">
                  <c:v>115</c:v>
                </c:pt>
                <c:pt idx="11">
                  <c:v>117</c:v>
                </c:pt>
                <c:pt idx="12">
                  <c:v>118</c:v>
                </c:pt>
                <c:pt idx="13">
                  <c:v>120</c:v>
                </c:pt>
                <c:pt idx="14">
                  <c:v>121</c:v>
                </c:pt>
                <c:pt idx="15">
                  <c:v>122</c:v>
                </c:pt>
                <c:pt idx="16">
                  <c:v>123</c:v>
                </c:pt>
                <c:pt idx="17">
                  <c:v>125</c:v>
                </c:pt>
                <c:pt idx="18">
                  <c:v>126</c:v>
                </c:pt>
                <c:pt idx="19">
                  <c:v>128</c:v>
                </c:pt>
                <c:pt idx="20">
                  <c:v>128</c:v>
                </c:pt>
                <c:pt idx="21">
                  <c:v>130</c:v>
                </c:pt>
                <c:pt idx="22">
                  <c:v>131</c:v>
                </c:pt>
                <c:pt idx="23">
                  <c:v>132</c:v>
                </c:pt>
                <c:pt idx="24">
                  <c:v>133</c:v>
                </c:pt>
                <c:pt idx="25">
                  <c:v>134</c:v>
                </c:pt>
                <c:pt idx="26">
                  <c:v>136</c:v>
                </c:pt>
                <c:pt idx="27">
                  <c:v>137</c:v>
                </c:pt>
                <c:pt idx="28">
                  <c:v>138</c:v>
                </c:pt>
                <c:pt idx="29">
                  <c:v>139</c:v>
                </c:pt>
                <c:pt idx="30">
                  <c:v>139</c:v>
                </c:pt>
                <c:pt idx="31">
                  <c:v>140</c:v>
                </c:pt>
                <c:pt idx="32">
                  <c:v>141</c:v>
                </c:pt>
                <c:pt idx="33">
                  <c:v>142</c:v>
                </c:pt>
                <c:pt idx="34">
                  <c:v>143</c:v>
                </c:pt>
                <c:pt idx="35">
                  <c:v>144</c:v>
                </c:pt>
                <c:pt idx="36">
                  <c:v>145</c:v>
                </c:pt>
                <c:pt idx="37">
                  <c:v>145</c:v>
                </c:pt>
                <c:pt idx="38">
                  <c:v>145</c:v>
                </c:pt>
                <c:pt idx="39">
                  <c:v>146</c:v>
                </c:pt>
                <c:pt idx="40">
                  <c:v>146</c:v>
                </c:pt>
                <c:pt idx="41">
                  <c:v>146</c:v>
                </c:pt>
                <c:pt idx="42">
                  <c:v>145</c:v>
                </c:pt>
                <c:pt idx="43">
                  <c:v>145</c:v>
                </c:pt>
                <c:pt idx="44">
                  <c:v>144</c:v>
                </c:pt>
                <c:pt idx="45">
                  <c:v>140</c:v>
                </c:pt>
                <c:pt idx="46">
                  <c:v>129</c:v>
                </c:pt>
                <c:pt idx="47">
                  <c:v>124</c:v>
                </c:pt>
                <c:pt idx="48">
                  <c:v>122</c:v>
                </c:pt>
                <c:pt idx="49">
                  <c:v>121</c:v>
                </c:pt>
                <c:pt idx="50">
                  <c:v>122</c:v>
                </c:pt>
                <c:pt idx="51">
                  <c:v>122</c:v>
                </c:pt>
                <c:pt idx="52">
                  <c:v>124</c:v>
                </c:pt>
                <c:pt idx="53">
                  <c:v>124</c:v>
                </c:pt>
                <c:pt idx="54">
                  <c:v>125</c:v>
                </c:pt>
                <c:pt idx="55">
                  <c:v>126</c:v>
                </c:pt>
                <c:pt idx="56">
                  <c:v>127</c:v>
                </c:pt>
                <c:pt idx="57">
                  <c:v>128</c:v>
                </c:pt>
                <c:pt idx="58">
                  <c:v>129</c:v>
                </c:pt>
                <c:pt idx="59">
                  <c:v>131</c:v>
                </c:pt>
                <c:pt idx="60">
                  <c:v>131</c:v>
                </c:pt>
                <c:pt idx="61">
                  <c:v>132</c:v>
                </c:pt>
                <c:pt idx="62">
                  <c:v>133</c:v>
                </c:pt>
                <c:pt idx="63">
                  <c:v>134</c:v>
                </c:pt>
                <c:pt idx="64">
                  <c:v>135</c:v>
                </c:pt>
                <c:pt idx="65">
                  <c:v>136</c:v>
                </c:pt>
                <c:pt idx="66">
                  <c:v>136</c:v>
                </c:pt>
                <c:pt idx="67">
                  <c:v>138</c:v>
                </c:pt>
                <c:pt idx="68">
                  <c:v>139</c:v>
                </c:pt>
                <c:pt idx="69">
                  <c:v>140</c:v>
                </c:pt>
                <c:pt idx="70">
                  <c:v>141</c:v>
                </c:pt>
                <c:pt idx="71">
                  <c:v>142</c:v>
                </c:pt>
                <c:pt idx="72">
                  <c:v>142</c:v>
                </c:pt>
                <c:pt idx="73">
                  <c:v>144</c:v>
                </c:pt>
                <c:pt idx="74">
                  <c:v>144</c:v>
                </c:pt>
                <c:pt idx="75">
                  <c:v>145</c:v>
                </c:pt>
                <c:pt idx="76">
                  <c:v>146</c:v>
                </c:pt>
                <c:pt idx="77">
                  <c:v>147</c:v>
                </c:pt>
                <c:pt idx="78">
                  <c:v>148</c:v>
                </c:pt>
                <c:pt idx="79">
                  <c:v>149</c:v>
                </c:pt>
                <c:pt idx="80">
                  <c:v>150</c:v>
                </c:pt>
                <c:pt idx="81">
                  <c:v>151</c:v>
                </c:pt>
                <c:pt idx="82">
                  <c:v>152</c:v>
                </c:pt>
                <c:pt idx="83">
                  <c:v>153</c:v>
                </c:pt>
                <c:pt idx="84">
                  <c:v>154</c:v>
                </c:pt>
                <c:pt idx="85">
                  <c:v>155</c:v>
                </c:pt>
                <c:pt idx="86">
                  <c:v>156</c:v>
                </c:pt>
                <c:pt idx="87">
                  <c:v>157</c:v>
                </c:pt>
                <c:pt idx="88">
                  <c:v>158</c:v>
                </c:pt>
                <c:pt idx="89">
                  <c:v>159</c:v>
                </c:pt>
                <c:pt idx="90">
                  <c:v>160</c:v>
                </c:pt>
                <c:pt idx="91">
                  <c:v>161</c:v>
                </c:pt>
                <c:pt idx="92">
                  <c:v>162</c:v>
                </c:pt>
                <c:pt idx="93">
                  <c:v>163</c:v>
                </c:pt>
                <c:pt idx="94">
                  <c:v>164</c:v>
                </c:pt>
                <c:pt idx="95">
                  <c:v>165</c:v>
                </c:pt>
                <c:pt idx="96">
                  <c:v>166</c:v>
                </c:pt>
                <c:pt idx="97">
                  <c:v>167</c:v>
                </c:pt>
                <c:pt idx="98">
                  <c:v>167</c:v>
                </c:pt>
                <c:pt idx="99">
                  <c:v>168</c:v>
                </c:pt>
              </c:numCache>
            </c:numRef>
          </c:val>
          <c:smooth val="0"/>
          <c:extLst>
            <c:ext xmlns:c16="http://schemas.microsoft.com/office/drawing/2014/chart" uri="{C3380CC4-5D6E-409C-BE32-E72D297353CC}">
              <c16:uniqueId val="{00000000-47EC-4774-A393-F87E2CC59123}"/>
            </c:ext>
          </c:extLst>
        </c:ser>
        <c:ser>
          <c:idx val="1"/>
          <c:order val="1"/>
          <c:tx>
            <c:v>Median</c:v>
          </c:tx>
          <c:spPr>
            <a:ln w="28575">
              <a:solidFill>
                <a:srgbClr val="0E4F92"/>
              </a:solidFill>
              <a:prstDash val="solid"/>
            </a:ln>
          </c:spPr>
          <c:marker>
            <c:symbol val="none"/>
          </c:marker>
          <c:cat>
            <c:strRef>
              <c:f>Results!$B$153:$B$252</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Results!$D$153:$D$252</c:f>
              <c:numCache>
                <c:formatCode>#,##0.00</c:formatCode>
                <c:ptCount val="100"/>
                <c:pt idx="0">
                  <c:v>89</c:v>
                </c:pt>
                <c:pt idx="1">
                  <c:v>91</c:v>
                </c:pt>
                <c:pt idx="2">
                  <c:v>92</c:v>
                </c:pt>
                <c:pt idx="3">
                  <c:v>93</c:v>
                </c:pt>
                <c:pt idx="4">
                  <c:v>94</c:v>
                </c:pt>
                <c:pt idx="5">
                  <c:v>95</c:v>
                </c:pt>
                <c:pt idx="6">
                  <c:v>97</c:v>
                </c:pt>
                <c:pt idx="7">
                  <c:v>98</c:v>
                </c:pt>
                <c:pt idx="8">
                  <c:v>99</c:v>
                </c:pt>
                <c:pt idx="9">
                  <c:v>101</c:v>
                </c:pt>
                <c:pt idx="10">
                  <c:v>102</c:v>
                </c:pt>
                <c:pt idx="11">
                  <c:v>103</c:v>
                </c:pt>
                <c:pt idx="12">
                  <c:v>105</c:v>
                </c:pt>
                <c:pt idx="13">
                  <c:v>106</c:v>
                </c:pt>
                <c:pt idx="14">
                  <c:v>108</c:v>
                </c:pt>
                <c:pt idx="15">
                  <c:v>109</c:v>
                </c:pt>
                <c:pt idx="16">
                  <c:v>110</c:v>
                </c:pt>
                <c:pt idx="17">
                  <c:v>111</c:v>
                </c:pt>
                <c:pt idx="18">
                  <c:v>113</c:v>
                </c:pt>
                <c:pt idx="19">
                  <c:v>113</c:v>
                </c:pt>
                <c:pt idx="20">
                  <c:v>114</c:v>
                </c:pt>
                <c:pt idx="21">
                  <c:v>115</c:v>
                </c:pt>
                <c:pt idx="22">
                  <c:v>116</c:v>
                </c:pt>
                <c:pt idx="23">
                  <c:v>116</c:v>
                </c:pt>
                <c:pt idx="24">
                  <c:v>117</c:v>
                </c:pt>
                <c:pt idx="25">
                  <c:v>118</c:v>
                </c:pt>
                <c:pt idx="26">
                  <c:v>118</c:v>
                </c:pt>
                <c:pt idx="27">
                  <c:v>118</c:v>
                </c:pt>
                <c:pt idx="28">
                  <c:v>118</c:v>
                </c:pt>
                <c:pt idx="29">
                  <c:v>119</c:v>
                </c:pt>
                <c:pt idx="30">
                  <c:v>118</c:v>
                </c:pt>
                <c:pt idx="31">
                  <c:v>118</c:v>
                </c:pt>
                <c:pt idx="32">
                  <c:v>116</c:v>
                </c:pt>
                <c:pt idx="33">
                  <c:v>114</c:v>
                </c:pt>
                <c:pt idx="34">
                  <c:v>110</c:v>
                </c:pt>
                <c:pt idx="35">
                  <c:v>107</c:v>
                </c:pt>
                <c:pt idx="36">
                  <c:v>106</c:v>
                </c:pt>
                <c:pt idx="37">
                  <c:v>104</c:v>
                </c:pt>
                <c:pt idx="38">
                  <c:v>104</c:v>
                </c:pt>
                <c:pt idx="39">
                  <c:v>104</c:v>
                </c:pt>
                <c:pt idx="40">
                  <c:v>104</c:v>
                </c:pt>
                <c:pt idx="41">
                  <c:v>104</c:v>
                </c:pt>
                <c:pt idx="42">
                  <c:v>104</c:v>
                </c:pt>
                <c:pt idx="43">
                  <c:v>105</c:v>
                </c:pt>
                <c:pt idx="44">
                  <c:v>105</c:v>
                </c:pt>
                <c:pt idx="45">
                  <c:v>105</c:v>
                </c:pt>
                <c:pt idx="46">
                  <c:v>106</c:v>
                </c:pt>
                <c:pt idx="47">
                  <c:v>106</c:v>
                </c:pt>
                <c:pt idx="48">
                  <c:v>107</c:v>
                </c:pt>
                <c:pt idx="49">
                  <c:v>107</c:v>
                </c:pt>
                <c:pt idx="50">
                  <c:v>108</c:v>
                </c:pt>
                <c:pt idx="51">
                  <c:v>109</c:v>
                </c:pt>
                <c:pt idx="52">
                  <c:v>110</c:v>
                </c:pt>
                <c:pt idx="53">
                  <c:v>111</c:v>
                </c:pt>
                <c:pt idx="54">
                  <c:v>111</c:v>
                </c:pt>
                <c:pt idx="55">
                  <c:v>112</c:v>
                </c:pt>
                <c:pt idx="56">
                  <c:v>113</c:v>
                </c:pt>
                <c:pt idx="57">
                  <c:v>114</c:v>
                </c:pt>
                <c:pt idx="58">
                  <c:v>115</c:v>
                </c:pt>
                <c:pt idx="59">
                  <c:v>116</c:v>
                </c:pt>
                <c:pt idx="60">
                  <c:v>117</c:v>
                </c:pt>
                <c:pt idx="61">
                  <c:v>118</c:v>
                </c:pt>
                <c:pt idx="62">
                  <c:v>119</c:v>
                </c:pt>
                <c:pt idx="63">
                  <c:v>120</c:v>
                </c:pt>
                <c:pt idx="64">
                  <c:v>121</c:v>
                </c:pt>
                <c:pt idx="65">
                  <c:v>122</c:v>
                </c:pt>
                <c:pt idx="66">
                  <c:v>122</c:v>
                </c:pt>
                <c:pt idx="67">
                  <c:v>123</c:v>
                </c:pt>
                <c:pt idx="68">
                  <c:v>124</c:v>
                </c:pt>
                <c:pt idx="69">
                  <c:v>125</c:v>
                </c:pt>
                <c:pt idx="70">
                  <c:v>126</c:v>
                </c:pt>
                <c:pt idx="71">
                  <c:v>127</c:v>
                </c:pt>
                <c:pt idx="72">
                  <c:v>128</c:v>
                </c:pt>
                <c:pt idx="73">
                  <c:v>129</c:v>
                </c:pt>
                <c:pt idx="74">
                  <c:v>130</c:v>
                </c:pt>
                <c:pt idx="75">
                  <c:v>130</c:v>
                </c:pt>
                <c:pt idx="76">
                  <c:v>131</c:v>
                </c:pt>
                <c:pt idx="77">
                  <c:v>132</c:v>
                </c:pt>
                <c:pt idx="78">
                  <c:v>133</c:v>
                </c:pt>
                <c:pt idx="79">
                  <c:v>134</c:v>
                </c:pt>
                <c:pt idx="80">
                  <c:v>135</c:v>
                </c:pt>
                <c:pt idx="81">
                  <c:v>136</c:v>
                </c:pt>
                <c:pt idx="82">
                  <c:v>137</c:v>
                </c:pt>
                <c:pt idx="83">
                  <c:v>138</c:v>
                </c:pt>
                <c:pt idx="84">
                  <c:v>139</c:v>
                </c:pt>
                <c:pt idx="85">
                  <c:v>140</c:v>
                </c:pt>
                <c:pt idx="86">
                  <c:v>140</c:v>
                </c:pt>
                <c:pt idx="87">
                  <c:v>142</c:v>
                </c:pt>
                <c:pt idx="88">
                  <c:v>142</c:v>
                </c:pt>
                <c:pt idx="89">
                  <c:v>144</c:v>
                </c:pt>
                <c:pt idx="90">
                  <c:v>144</c:v>
                </c:pt>
                <c:pt idx="91">
                  <c:v>145</c:v>
                </c:pt>
                <c:pt idx="92">
                  <c:v>146</c:v>
                </c:pt>
                <c:pt idx="93">
                  <c:v>147</c:v>
                </c:pt>
                <c:pt idx="94">
                  <c:v>148</c:v>
                </c:pt>
                <c:pt idx="95">
                  <c:v>149</c:v>
                </c:pt>
                <c:pt idx="96">
                  <c:v>150</c:v>
                </c:pt>
                <c:pt idx="97">
                  <c:v>151</c:v>
                </c:pt>
                <c:pt idx="98">
                  <c:v>151</c:v>
                </c:pt>
                <c:pt idx="99">
                  <c:v>152</c:v>
                </c:pt>
              </c:numCache>
            </c:numRef>
          </c:val>
          <c:smooth val="0"/>
          <c:extLst>
            <c:ext xmlns:c16="http://schemas.microsoft.com/office/drawing/2014/chart" uri="{C3380CC4-5D6E-409C-BE32-E72D297353CC}">
              <c16:uniqueId val="{00000001-47EC-4774-A393-F87E2CC59123}"/>
            </c:ext>
          </c:extLst>
        </c:ser>
        <c:ser>
          <c:idx val="2"/>
          <c:order val="2"/>
          <c:tx>
            <c:v>Mean</c:v>
          </c:tx>
          <c:spPr>
            <a:ln w="19050">
              <a:solidFill>
                <a:srgbClr val="B45309"/>
              </a:solidFill>
              <a:prstDash val="solid"/>
            </a:ln>
          </c:spPr>
          <c:marker>
            <c:symbol val="none"/>
          </c:marker>
          <c:cat>
            <c:strRef>
              <c:f>Results!$B$153:$B$252</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Results!$F$153:$F$252</c:f>
              <c:numCache>
                <c:formatCode>#,##0.00</c:formatCode>
                <c:ptCount val="100"/>
                <c:pt idx="0">
                  <c:v>89.137556877843892</c:v>
                </c:pt>
                <c:pt idx="1">
                  <c:v>90.647132356617831</c:v>
                </c:pt>
                <c:pt idx="2">
                  <c:v>92.047002350117509</c:v>
                </c:pt>
                <c:pt idx="3">
                  <c:v>93.095954797739893</c:v>
                </c:pt>
                <c:pt idx="4">
                  <c:v>94.308615430771539</c:v>
                </c:pt>
                <c:pt idx="5">
                  <c:v>95.74718735936797</c:v>
                </c:pt>
                <c:pt idx="6">
                  <c:v>97.268513425671287</c:v>
                </c:pt>
                <c:pt idx="7">
                  <c:v>98.498874943747182</c:v>
                </c:pt>
                <c:pt idx="8">
                  <c:v>99.524226211310562</c:v>
                </c:pt>
                <c:pt idx="9">
                  <c:v>101.15150757537877</c:v>
                </c:pt>
                <c:pt idx="10">
                  <c:v>102.31621581079054</c:v>
                </c:pt>
                <c:pt idx="11">
                  <c:v>103.47547377368869</c:v>
                </c:pt>
                <c:pt idx="12">
                  <c:v>105.01455072753637</c:v>
                </c:pt>
                <c:pt idx="13">
                  <c:v>106.17310865543277</c:v>
                </c:pt>
                <c:pt idx="14">
                  <c:v>107.58432921646083</c:v>
                </c:pt>
                <c:pt idx="15">
                  <c:v>108.85034251712585</c:v>
                </c:pt>
                <c:pt idx="16">
                  <c:v>110.09550477523877</c:v>
                </c:pt>
                <c:pt idx="17">
                  <c:v>111.45327266363319</c:v>
                </c:pt>
                <c:pt idx="18">
                  <c:v>112.72378618930946</c:v>
                </c:pt>
                <c:pt idx="19">
                  <c:v>112.9449972498625</c:v>
                </c:pt>
                <c:pt idx="20">
                  <c:v>112.98674933746688</c:v>
                </c:pt>
                <c:pt idx="21">
                  <c:v>113.24991249562478</c:v>
                </c:pt>
                <c:pt idx="22">
                  <c:v>113.5190759537977</c:v>
                </c:pt>
                <c:pt idx="23">
                  <c:v>113.48802440122006</c:v>
                </c:pt>
                <c:pt idx="24">
                  <c:v>113.53587679383969</c:v>
                </c:pt>
                <c:pt idx="25">
                  <c:v>113.6294814740737</c:v>
                </c:pt>
                <c:pt idx="26">
                  <c:v>113.61283064153207</c:v>
                </c:pt>
                <c:pt idx="27">
                  <c:v>113.48982449122457</c:v>
                </c:pt>
                <c:pt idx="28">
                  <c:v>113.51147557377868</c:v>
                </c:pt>
                <c:pt idx="29">
                  <c:v>113.61233061653083</c:v>
                </c:pt>
                <c:pt idx="30">
                  <c:v>113.42537126856342</c:v>
                </c:pt>
                <c:pt idx="31">
                  <c:v>113.48007400370018</c:v>
                </c:pt>
                <c:pt idx="32">
                  <c:v>113.28866443322165</c:v>
                </c:pt>
                <c:pt idx="33">
                  <c:v>113.09420471023552</c:v>
                </c:pt>
                <c:pt idx="34">
                  <c:v>112.95019750987549</c:v>
                </c:pt>
                <c:pt idx="35">
                  <c:v>112.8124406220311</c:v>
                </c:pt>
                <c:pt idx="36">
                  <c:v>112.33846692334616</c:v>
                </c:pt>
                <c:pt idx="37">
                  <c:v>111.89654482724136</c:v>
                </c:pt>
                <c:pt idx="38">
                  <c:v>111.81984099204961</c:v>
                </c:pt>
                <c:pt idx="39">
                  <c:v>111.48437421871094</c:v>
                </c:pt>
                <c:pt idx="40">
                  <c:v>111.2047602380119</c:v>
                </c:pt>
                <c:pt idx="41">
                  <c:v>110.71943597179859</c:v>
                </c:pt>
                <c:pt idx="42">
                  <c:v>110.38871943597179</c:v>
                </c:pt>
                <c:pt idx="43">
                  <c:v>110.20686034301715</c:v>
                </c:pt>
                <c:pt idx="44">
                  <c:v>109.92334616730837</c:v>
                </c:pt>
                <c:pt idx="45">
                  <c:v>109.31016550827542</c:v>
                </c:pt>
                <c:pt idx="46">
                  <c:v>108.66898344917246</c:v>
                </c:pt>
                <c:pt idx="47">
                  <c:v>108.39761988099404</c:v>
                </c:pt>
                <c:pt idx="48">
                  <c:v>107.67228361418071</c:v>
                </c:pt>
                <c:pt idx="49">
                  <c:v>106.95494774738737</c:v>
                </c:pt>
                <c:pt idx="50">
                  <c:v>108.15865793289665</c:v>
                </c:pt>
                <c:pt idx="51">
                  <c:v>108.76073803690184</c:v>
                </c:pt>
                <c:pt idx="52">
                  <c:v>109.94904745237262</c:v>
                </c:pt>
                <c:pt idx="53">
                  <c:v>110.7726386319316</c:v>
                </c:pt>
                <c:pt idx="54">
                  <c:v>111.74078703935197</c:v>
                </c:pt>
                <c:pt idx="55">
                  <c:v>112.61193059652983</c:v>
                </c:pt>
                <c:pt idx="56">
                  <c:v>113.43237161858093</c:v>
                </c:pt>
                <c:pt idx="57">
                  <c:v>114.33966698334916</c:v>
                </c:pt>
                <c:pt idx="58">
                  <c:v>115.17655882794139</c:v>
                </c:pt>
                <c:pt idx="59">
                  <c:v>116.35376768838442</c:v>
                </c:pt>
                <c:pt idx="60">
                  <c:v>117.18670933546677</c:v>
                </c:pt>
                <c:pt idx="61">
                  <c:v>118.09245462273114</c:v>
                </c:pt>
                <c:pt idx="62">
                  <c:v>118.92804640232012</c:v>
                </c:pt>
                <c:pt idx="63">
                  <c:v>119.84704235211761</c:v>
                </c:pt>
                <c:pt idx="64">
                  <c:v>120.77348867443372</c:v>
                </c:pt>
                <c:pt idx="65">
                  <c:v>121.6242812140607</c:v>
                </c:pt>
                <c:pt idx="66">
                  <c:v>122.56742837141857</c:v>
                </c:pt>
                <c:pt idx="67">
                  <c:v>123.39381969098454</c:v>
                </c:pt>
                <c:pt idx="68">
                  <c:v>124.34456722836141</c:v>
                </c:pt>
                <c:pt idx="69">
                  <c:v>125.32386619330967</c:v>
                </c:pt>
                <c:pt idx="70">
                  <c:v>126.12505625281264</c:v>
                </c:pt>
                <c:pt idx="71">
                  <c:v>126.98539926996349</c:v>
                </c:pt>
                <c:pt idx="72">
                  <c:v>127.984799239962</c:v>
                </c:pt>
                <c:pt idx="73">
                  <c:v>128.97524876243813</c:v>
                </c:pt>
                <c:pt idx="74">
                  <c:v>129.81699084954246</c:v>
                </c:pt>
                <c:pt idx="75">
                  <c:v>130.60458022901145</c:v>
                </c:pt>
                <c:pt idx="76">
                  <c:v>131.42077103855192</c:v>
                </c:pt>
                <c:pt idx="77">
                  <c:v>132.40147007350367</c:v>
                </c:pt>
                <c:pt idx="78">
                  <c:v>133.44607230361518</c:v>
                </c:pt>
                <c:pt idx="79">
                  <c:v>134.27031351567578</c:v>
                </c:pt>
                <c:pt idx="80">
                  <c:v>135.44537226861343</c:v>
                </c:pt>
                <c:pt idx="81">
                  <c:v>136.05340267013349</c:v>
                </c:pt>
                <c:pt idx="82">
                  <c:v>137.15715785789288</c:v>
                </c:pt>
                <c:pt idx="83">
                  <c:v>138.07930396519825</c:v>
                </c:pt>
                <c:pt idx="84">
                  <c:v>138.88104405220261</c:v>
                </c:pt>
                <c:pt idx="85">
                  <c:v>139.83934196709836</c:v>
                </c:pt>
                <c:pt idx="86">
                  <c:v>140.72703635181759</c:v>
                </c:pt>
                <c:pt idx="87">
                  <c:v>141.79278963948198</c:v>
                </c:pt>
                <c:pt idx="88">
                  <c:v>142.37546877343868</c:v>
                </c:pt>
                <c:pt idx="89">
                  <c:v>143.69013450672534</c:v>
                </c:pt>
                <c:pt idx="90">
                  <c:v>144.62033101655084</c:v>
                </c:pt>
                <c:pt idx="91">
                  <c:v>145.34351717585881</c:v>
                </c:pt>
                <c:pt idx="92">
                  <c:v>146.17410870543526</c:v>
                </c:pt>
                <c:pt idx="93">
                  <c:v>147.09325466273313</c:v>
                </c:pt>
                <c:pt idx="94">
                  <c:v>148.00975048752437</c:v>
                </c:pt>
                <c:pt idx="95">
                  <c:v>148.90474523726186</c:v>
                </c:pt>
                <c:pt idx="96">
                  <c:v>149.91819590979549</c:v>
                </c:pt>
                <c:pt idx="97">
                  <c:v>150.8346417320866</c:v>
                </c:pt>
                <c:pt idx="98">
                  <c:v>151.52622631131555</c:v>
                </c:pt>
                <c:pt idx="99">
                  <c:v>152.57677883894195</c:v>
                </c:pt>
              </c:numCache>
            </c:numRef>
          </c:val>
          <c:smooth val="0"/>
          <c:extLst>
            <c:ext xmlns:c16="http://schemas.microsoft.com/office/drawing/2014/chart" uri="{C3380CC4-5D6E-409C-BE32-E72D297353CC}">
              <c16:uniqueId val="{00000002-47EC-4774-A393-F87E2CC59123}"/>
            </c:ext>
          </c:extLst>
        </c:ser>
        <c:ser>
          <c:idx val="3"/>
          <c:order val="3"/>
          <c:tx>
            <c:v>10th percentile</c:v>
          </c:tx>
          <c:spPr>
            <a:ln w="15875">
              <a:solidFill>
                <a:srgbClr val="0E4F92"/>
              </a:solidFill>
              <a:prstDash val="dash"/>
            </a:ln>
          </c:spPr>
          <c:marker>
            <c:symbol val="none"/>
          </c:marker>
          <c:cat>
            <c:strRef>
              <c:f>Results!$B$153:$B$252</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Results!$C$153:$C$252</c:f>
              <c:numCache>
                <c:formatCode>#,##0.00</c:formatCode>
                <c:ptCount val="100"/>
                <c:pt idx="0">
                  <c:v>77</c:v>
                </c:pt>
                <c:pt idx="1">
                  <c:v>78</c:v>
                </c:pt>
                <c:pt idx="2">
                  <c:v>80</c:v>
                </c:pt>
                <c:pt idx="3">
                  <c:v>81</c:v>
                </c:pt>
                <c:pt idx="4">
                  <c:v>82</c:v>
                </c:pt>
                <c:pt idx="5">
                  <c:v>84</c:v>
                </c:pt>
                <c:pt idx="6">
                  <c:v>85</c:v>
                </c:pt>
                <c:pt idx="7">
                  <c:v>86</c:v>
                </c:pt>
                <c:pt idx="8">
                  <c:v>87</c:v>
                </c:pt>
                <c:pt idx="9">
                  <c:v>88</c:v>
                </c:pt>
                <c:pt idx="10">
                  <c:v>89</c:v>
                </c:pt>
                <c:pt idx="11">
                  <c:v>90</c:v>
                </c:pt>
                <c:pt idx="12">
                  <c:v>92</c:v>
                </c:pt>
                <c:pt idx="13">
                  <c:v>93</c:v>
                </c:pt>
                <c:pt idx="14">
                  <c:v>94</c:v>
                </c:pt>
                <c:pt idx="15">
                  <c:v>96</c:v>
                </c:pt>
                <c:pt idx="16">
                  <c:v>97</c:v>
                </c:pt>
                <c:pt idx="17">
                  <c:v>98</c:v>
                </c:pt>
                <c:pt idx="18">
                  <c:v>99</c:v>
                </c:pt>
                <c:pt idx="19">
                  <c:v>98</c:v>
                </c:pt>
                <c:pt idx="20">
                  <c:v>97</c:v>
                </c:pt>
                <c:pt idx="21">
                  <c:v>93</c:v>
                </c:pt>
                <c:pt idx="22">
                  <c:v>89</c:v>
                </c:pt>
                <c:pt idx="23">
                  <c:v>86</c:v>
                </c:pt>
                <c:pt idx="24">
                  <c:v>85</c:v>
                </c:pt>
                <c:pt idx="25">
                  <c:v>84</c:v>
                </c:pt>
                <c:pt idx="26">
                  <c:v>83</c:v>
                </c:pt>
                <c:pt idx="27">
                  <c:v>83</c:v>
                </c:pt>
                <c:pt idx="28">
                  <c:v>83</c:v>
                </c:pt>
                <c:pt idx="29">
                  <c:v>84</c:v>
                </c:pt>
                <c:pt idx="30">
                  <c:v>84</c:v>
                </c:pt>
                <c:pt idx="31">
                  <c:v>84</c:v>
                </c:pt>
                <c:pt idx="32">
                  <c:v>84</c:v>
                </c:pt>
                <c:pt idx="33">
                  <c:v>84</c:v>
                </c:pt>
                <c:pt idx="34">
                  <c:v>85</c:v>
                </c:pt>
                <c:pt idx="35">
                  <c:v>86</c:v>
                </c:pt>
                <c:pt idx="36">
                  <c:v>86</c:v>
                </c:pt>
                <c:pt idx="37">
                  <c:v>86</c:v>
                </c:pt>
                <c:pt idx="38">
                  <c:v>87</c:v>
                </c:pt>
                <c:pt idx="39">
                  <c:v>88</c:v>
                </c:pt>
                <c:pt idx="40">
                  <c:v>88</c:v>
                </c:pt>
                <c:pt idx="41">
                  <c:v>89</c:v>
                </c:pt>
                <c:pt idx="42">
                  <c:v>90</c:v>
                </c:pt>
                <c:pt idx="43">
                  <c:v>90</c:v>
                </c:pt>
                <c:pt idx="44">
                  <c:v>91</c:v>
                </c:pt>
                <c:pt idx="45">
                  <c:v>91</c:v>
                </c:pt>
                <c:pt idx="46">
                  <c:v>92</c:v>
                </c:pt>
                <c:pt idx="47">
                  <c:v>93</c:v>
                </c:pt>
                <c:pt idx="48">
                  <c:v>93</c:v>
                </c:pt>
                <c:pt idx="49">
                  <c:v>94</c:v>
                </c:pt>
                <c:pt idx="50">
                  <c:v>95</c:v>
                </c:pt>
                <c:pt idx="51">
                  <c:v>96</c:v>
                </c:pt>
                <c:pt idx="52">
                  <c:v>96</c:v>
                </c:pt>
                <c:pt idx="53">
                  <c:v>97</c:v>
                </c:pt>
                <c:pt idx="54">
                  <c:v>98</c:v>
                </c:pt>
                <c:pt idx="55">
                  <c:v>99</c:v>
                </c:pt>
                <c:pt idx="56">
                  <c:v>100</c:v>
                </c:pt>
                <c:pt idx="57">
                  <c:v>101</c:v>
                </c:pt>
                <c:pt idx="58">
                  <c:v>101</c:v>
                </c:pt>
                <c:pt idx="59">
                  <c:v>102</c:v>
                </c:pt>
                <c:pt idx="60">
                  <c:v>103</c:v>
                </c:pt>
                <c:pt idx="61">
                  <c:v>104</c:v>
                </c:pt>
                <c:pt idx="62">
                  <c:v>105</c:v>
                </c:pt>
                <c:pt idx="63">
                  <c:v>106</c:v>
                </c:pt>
                <c:pt idx="64">
                  <c:v>107</c:v>
                </c:pt>
                <c:pt idx="65">
                  <c:v>108</c:v>
                </c:pt>
                <c:pt idx="66">
                  <c:v>109</c:v>
                </c:pt>
                <c:pt idx="67">
                  <c:v>109</c:v>
                </c:pt>
                <c:pt idx="68">
                  <c:v>110</c:v>
                </c:pt>
                <c:pt idx="69">
                  <c:v>111</c:v>
                </c:pt>
                <c:pt idx="70">
                  <c:v>111</c:v>
                </c:pt>
                <c:pt idx="71">
                  <c:v>113</c:v>
                </c:pt>
                <c:pt idx="72">
                  <c:v>114</c:v>
                </c:pt>
                <c:pt idx="73">
                  <c:v>115</c:v>
                </c:pt>
                <c:pt idx="74">
                  <c:v>115</c:v>
                </c:pt>
                <c:pt idx="75">
                  <c:v>116</c:v>
                </c:pt>
                <c:pt idx="76">
                  <c:v>117</c:v>
                </c:pt>
                <c:pt idx="77">
                  <c:v>118</c:v>
                </c:pt>
                <c:pt idx="78">
                  <c:v>119</c:v>
                </c:pt>
                <c:pt idx="79">
                  <c:v>120</c:v>
                </c:pt>
                <c:pt idx="80">
                  <c:v>121</c:v>
                </c:pt>
                <c:pt idx="81">
                  <c:v>121</c:v>
                </c:pt>
                <c:pt idx="82">
                  <c:v>122</c:v>
                </c:pt>
                <c:pt idx="83">
                  <c:v>123</c:v>
                </c:pt>
                <c:pt idx="84">
                  <c:v>124</c:v>
                </c:pt>
                <c:pt idx="85">
                  <c:v>125</c:v>
                </c:pt>
                <c:pt idx="86">
                  <c:v>126</c:v>
                </c:pt>
                <c:pt idx="87">
                  <c:v>127</c:v>
                </c:pt>
                <c:pt idx="88">
                  <c:v>127</c:v>
                </c:pt>
                <c:pt idx="89">
                  <c:v>129</c:v>
                </c:pt>
                <c:pt idx="90">
                  <c:v>129</c:v>
                </c:pt>
                <c:pt idx="91">
                  <c:v>130</c:v>
                </c:pt>
                <c:pt idx="92">
                  <c:v>131</c:v>
                </c:pt>
                <c:pt idx="93">
                  <c:v>131</c:v>
                </c:pt>
                <c:pt idx="94">
                  <c:v>133</c:v>
                </c:pt>
                <c:pt idx="95">
                  <c:v>133</c:v>
                </c:pt>
                <c:pt idx="96">
                  <c:v>134</c:v>
                </c:pt>
                <c:pt idx="97">
                  <c:v>135</c:v>
                </c:pt>
                <c:pt idx="98">
                  <c:v>136</c:v>
                </c:pt>
                <c:pt idx="99">
                  <c:v>137</c:v>
                </c:pt>
              </c:numCache>
            </c:numRef>
          </c:val>
          <c:smooth val="0"/>
          <c:extLst>
            <c:ext xmlns:c16="http://schemas.microsoft.com/office/drawing/2014/chart" uri="{C3380CC4-5D6E-409C-BE32-E72D297353CC}">
              <c16:uniqueId val="{00000003-47EC-4774-A393-F87E2CC5912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10"/>
        <c:tickMarkSkip val="10"/>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Deaths per month</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9"/>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2" t="s">
        <v>20</v>
      </c>
      <c r="C16" s="61"/>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12" customHeight="1" x14ac:dyDescent="0.45"/>
    <row r="37" spans="2:3" ht="22.05" customHeight="1" x14ac:dyDescent="0.5">
      <c r="B37" s="7" t="s">
        <v>36</v>
      </c>
      <c r="C37" s="8"/>
    </row>
    <row r="38" spans="2:3" x14ac:dyDescent="0.45">
      <c r="B38" s="14" t="s">
        <v>37</v>
      </c>
      <c r="C38" s="10" t="s">
        <v>38</v>
      </c>
    </row>
    <row r="39" spans="2:3" x14ac:dyDescent="0.45">
      <c r="B39" s="14" t="s">
        <v>39</v>
      </c>
      <c r="C39" s="10" t="s">
        <v>40</v>
      </c>
    </row>
    <row r="40" spans="2:3" x14ac:dyDescent="0.45">
      <c r="B40" s="14" t="s">
        <v>41</v>
      </c>
      <c r="C40" s="10" t="s">
        <v>42</v>
      </c>
    </row>
    <row r="41" spans="2:3" ht="12" customHeight="1" x14ac:dyDescent="0.45"/>
    <row r="42" spans="2:3" ht="22.05" customHeight="1" x14ac:dyDescent="0.5">
      <c r="B42" s="7" t="s">
        <v>43</v>
      </c>
      <c r="C42" s="8"/>
    </row>
    <row r="43" spans="2:3" x14ac:dyDescent="0.45">
      <c r="B43" s="15" t="s">
        <v>44</v>
      </c>
      <c r="C43" s="12" t="s">
        <v>45</v>
      </c>
    </row>
    <row r="44" spans="2:3" x14ac:dyDescent="0.45">
      <c r="B44" s="16" t="s">
        <v>46</v>
      </c>
      <c r="C44" s="12" t="s">
        <v>47</v>
      </c>
    </row>
    <row r="45" spans="2:3" x14ac:dyDescent="0.45">
      <c r="B45" s="17" t="s">
        <v>48</v>
      </c>
      <c r="C45" s="12" t="s">
        <v>49</v>
      </c>
    </row>
    <row r="46" spans="2:3" x14ac:dyDescent="0.45">
      <c r="B46" s="18" t="s">
        <v>50</v>
      </c>
      <c r="C46" s="12" t="s">
        <v>51</v>
      </c>
    </row>
    <row r="47" spans="2:3" x14ac:dyDescent="0.45">
      <c r="B47" s="19" t="s">
        <v>52</v>
      </c>
      <c r="C47" s="12" t="s">
        <v>53</v>
      </c>
    </row>
    <row r="48" spans="2:3" ht="12" customHeight="1" x14ac:dyDescent="0.45"/>
    <row r="49" spans="2:3" ht="22.05" customHeight="1" x14ac:dyDescent="0.5">
      <c r="B49" s="7" t="s">
        <v>54</v>
      </c>
      <c r="C49" s="8"/>
    </row>
    <row r="50" spans="2:3" x14ac:dyDescent="0.45">
      <c r="B50" s="9" t="s">
        <v>55</v>
      </c>
      <c r="C50" s="10" t="s">
        <v>56</v>
      </c>
    </row>
    <row r="51" spans="2:3" x14ac:dyDescent="0.45">
      <c r="B51" s="9" t="s">
        <v>57</v>
      </c>
      <c r="C51" s="10" t="s">
        <v>58</v>
      </c>
    </row>
    <row r="52" spans="2:3" ht="12" customHeight="1" x14ac:dyDescent="0.45"/>
    <row r="53" spans="2:3" ht="22.05" customHeight="1" x14ac:dyDescent="0.5">
      <c r="B53" s="7" t="s">
        <v>59</v>
      </c>
      <c r="C53" s="8"/>
    </row>
    <row r="54" spans="2:3" x14ac:dyDescent="0.45">
      <c r="B54" s="9" t="s">
        <v>60</v>
      </c>
      <c r="C54" s="10" t="s">
        <v>61</v>
      </c>
    </row>
    <row r="55" spans="2:3" x14ac:dyDescent="0.45">
      <c r="B55" s="9" t="s">
        <v>62</v>
      </c>
      <c r="C55" s="10" t="s">
        <v>63</v>
      </c>
    </row>
    <row r="56" spans="2:3" x14ac:dyDescent="0.45">
      <c r="B56" s="9" t="s">
        <v>64</v>
      </c>
      <c r="C56" s="10" t="s">
        <v>65</v>
      </c>
    </row>
    <row r="57" spans="2:3" x14ac:dyDescent="0.45">
      <c r="B57" s="9" t="s">
        <v>66</v>
      </c>
      <c r="C57" s="10" t="s">
        <v>67</v>
      </c>
    </row>
    <row r="58" spans="2:3" ht="12" customHeight="1" x14ac:dyDescent="0.45"/>
    <row r="59" spans="2:3" ht="22.05" customHeight="1" x14ac:dyDescent="0.5">
      <c r="B59" s="7" t="s">
        <v>68</v>
      </c>
      <c r="C59" s="8"/>
    </row>
    <row r="60" spans="2:3" x14ac:dyDescent="0.45">
      <c r="B60" s="20" t="s">
        <v>69</v>
      </c>
      <c r="C60" s="10" t="s">
        <v>70</v>
      </c>
    </row>
    <row r="61" spans="2:3" x14ac:dyDescent="0.45">
      <c r="B61" s="20" t="s">
        <v>71</v>
      </c>
      <c r="C61" s="10" t="s">
        <v>72</v>
      </c>
    </row>
    <row r="62" spans="2:3" x14ac:dyDescent="0.45">
      <c r="B62" s="20" t="s">
        <v>73</v>
      </c>
      <c r="C62" s="10" t="s">
        <v>74</v>
      </c>
    </row>
    <row r="63" spans="2:3" x14ac:dyDescent="0.45">
      <c r="B63" s="20" t="s">
        <v>75</v>
      </c>
      <c r="C63" s="10" t="s">
        <v>76</v>
      </c>
    </row>
    <row r="64" spans="2:3" ht="26.25" x14ac:dyDescent="0.45">
      <c r="B64" s="20" t="s">
        <v>77</v>
      </c>
      <c r="C64" s="10" t="s">
        <v>78</v>
      </c>
    </row>
    <row r="65" spans="2:3" ht="12" customHeight="1" x14ac:dyDescent="0.45"/>
    <row r="66" spans="2:3" ht="22.05" customHeight="1" x14ac:dyDescent="0.5">
      <c r="B66" s="7" t="s">
        <v>79</v>
      </c>
      <c r="C66" s="8"/>
    </row>
    <row r="67" spans="2:3" x14ac:dyDescent="0.45">
      <c r="B67" s="9" t="s">
        <v>80</v>
      </c>
      <c r="C67" s="10" t="s">
        <v>81</v>
      </c>
    </row>
    <row r="68" spans="2:3" ht="16.05" customHeight="1" x14ac:dyDescent="0.45"/>
    <row r="69" spans="2:3" x14ac:dyDescent="0.45">
      <c r="B69" s="60" t="s">
        <v>82</v>
      </c>
      <c r="C69" s="61"/>
    </row>
  </sheetData>
  <mergeCells count="2">
    <mergeCell ref="B69:C69"/>
    <mergeCell ref="B16:C16"/>
  </mergeCells>
  <hyperlinks>
    <hyperlink ref="D4" location="'Inputs'!A1" display="Next:  Inputs  ▸" xr:uid="{00000000-0004-0000-0000-000000000000}"/>
    <hyperlink ref="B38" location="'Inputs'!A1" display="Inputs" xr:uid="{00000000-0004-0000-0000-000001000000}"/>
    <hyperlink ref="B39" location="'Months'!A1" display="Months" xr:uid="{00000000-0004-0000-0000-000002000000}"/>
    <hyperlink ref="B40"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83</v>
      </c>
      <c r="C3" s="1"/>
      <c r="D3" s="1"/>
      <c r="E3" s="1"/>
      <c r="F3" s="1"/>
      <c r="G3" s="1"/>
      <c r="H3" s="1"/>
      <c r="I3" s="1"/>
      <c r="J3" s="1"/>
    </row>
    <row r="4" spans="1:10" ht="20" customHeight="1" x14ac:dyDescent="0.45">
      <c r="A4" s="5"/>
      <c r="B4" s="22" t="s">
        <v>84</v>
      </c>
      <c r="C4" s="5"/>
      <c r="D4" s="5"/>
      <c r="E4" s="5"/>
      <c r="F4" s="5"/>
      <c r="G4" s="5"/>
      <c r="H4" s="5"/>
      <c r="I4" s="5"/>
      <c r="J4" s="6" t="s">
        <v>85</v>
      </c>
    </row>
    <row r="5" spans="1:10" ht="8" customHeight="1" x14ac:dyDescent="0.45"/>
    <row r="6" spans="1:10" ht="20" customHeight="1" x14ac:dyDescent="0.45">
      <c r="B6" s="63" t="s">
        <v>86</v>
      </c>
      <c r="C6" s="61"/>
      <c r="D6" s="61"/>
      <c r="E6" s="61"/>
      <c r="F6" s="61"/>
      <c r="G6" s="61"/>
      <c r="H6" s="61"/>
      <c r="I6" s="61"/>
      <c r="J6" s="61"/>
    </row>
    <row r="7" spans="1:10" ht="6" customHeight="1" x14ac:dyDescent="0.45"/>
    <row r="8" spans="1:10" ht="22.05" customHeight="1" x14ac:dyDescent="0.5">
      <c r="B8" s="7" t="s">
        <v>87</v>
      </c>
      <c r="C8" s="8"/>
      <c r="D8" s="8"/>
      <c r="E8" s="8"/>
      <c r="F8" s="8"/>
      <c r="G8" s="8"/>
      <c r="H8" s="8"/>
      <c r="I8" s="8"/>
      <c r="J8" s="8"/>
    </row>
    <row r="9" spans="1:10" ht="18" customHeight="1" x14ac:dyDescent="0.45">
      <c r="B9" s="13" t="s">
        <v>88</v>
      </c>
    </row>
    <row r="10" spans="1:10" ht="18" customHeight="1" x14ac:dyDescent="0.45">
      <c r="B10" s="23" t="s">
        <v>89</v>
      </c>
      <c r="C10" s="23" t="s">
        <v>90</v>
      </c>
      <c r="D10" s="24" t="s">
        <v>91</v>
      </c>
      <c r="E10" s="23" t="s">
        <v>92</v>
      </c>
      <c r="F10" s="5"/>
      <c r="G10" s="5"/>
      <c r="H10" s="5"/>
      <c r="I10" s="5"/>
      <c r="J10" s="23" t="s">
        <v>93</v>
      </c>
    </row>
    <row r="11" spans="1:10" x14ac:dyDescent="0.45">
      <c r="B11" s="25" t="s">
        <v>94</v>
      </c>
      <c r="C11" s="26" t="s">
        <v>95</v>
      </c>
      <c r="D11" s="27">
        <v>88</v>
      </c>
      <c r="E11" s="26" t="s">
        <v>96</v>
      </c>
      <c r="F11" s="28"/>
      <c r="G11" s="28"/>
      <c r="H11" s="28"/>
      <c r="I11" s="28"/>
      <c r="J11" s="29"/>
    </row>
    <row r="12" spans="1:10" x14ac:dyDescent="0.45">
      <c r="B12" s="25" t="s">
        <v>97</v>
      </c>
      <c r="C12" s="26" t="s">
        <v>95</v>
      </c>
      <c r="D12" s="30">
        <v>1.3</v>
      </c>
      <c r="E12" s="26" t="s">
        <v>96</v>
      </c>
      <c r="F12" s="28"/>
      <c r="G12" s="28"/>
      <c r="H12" s="28"/>
      <c r="I12" s="28"/>
      <c r="J12" s="29"/>
    </row>
    <row r="13" spans="1:10" ht="8" customHeight="1" x14ac:dyDescent="0.45"/>
    <row r="14" spans="1:10" ht="22.05" customHeight="1" x14ac:dyDescent="0.5">
      <c r="B14" s="7" t="s">
        <v>98</v>
      </c>
      <c r="C14" s="8"/>
      <c r="D14" s="8"/>
      <c r="E14" s="8"/>
      <c r="F14" s="8"/>
      <c r="G14" s="8"/>
      <c r="H14" s="8"/>
      <c r="I14" s="8"/>
      <c r="J14" s="8"/>
    </row>
    <row r="15" spans="1:10" ht="18" customHeight="1" x14ac:dyDescent="0.45">
      <c r="B15" s="13" t="s">
        <v>99</v>
      </c>
    </row>
    <row r="16" spans="1:10" ht="18" customHeight="1" x14ac:dyDescent="0.45">
      <c r="B16" s="23" t="s">
        <v>89</v>
      </c>
      <c r="C16" s="23" t="s">
        <v>90</v>
      </c>
      <c r="D16" s="24" t="s">
        <v>91</v>
      </c>
      <c r="E16" s="23" t="s">
        <v>92</v>
      </c>
      <c r="F16" s="5"/>
      <c r="G16" s="5"/>
      <c r="H16" s="5"/>
      <c r="I16" s="5"/>
      <c r="J16" s="23" t="s">
        <v>93</v>
      </c>
    </row>
    <row r="17" spans="2:10" x14ac:dyDescent="0.45">
      <c r="B17" s="25" t="s">
        <v>100</v>
      </c>
      <c r="C17" s="26" t="s">
        <v>101</v>
      </c>
      <c r="D17" s="31">
        <v>20</v>
      </c>
      <c r="E17" s="26" t="s">
        <v>96</v>
      </c>
      <c r="F17" s="28"/>
      <c r="G17" s="28"/>
      <c r="H17" s="28"/>
      <c r="I17" s="28"/>
      <c r="J17" s="29"/>
    </row>
    <row r="18" spans="2:10" x14ac:dyDescent="0.45">
      <c r="B18" s="25" t="s">
        <v>102</v>
      </c>
      <c r="C18" s="26" t="s">
        <v>101</v>
      </c>
      <c r="D18" s="31">
        <v>50</v>
      </c>
      <c r="E18" s="26" t="s">
        <v>96</v>
      </c>
      <c r="F18" s="28"/>
      <c r="G18" s="28"/>
      <c r="H18" s="28"/>
      <c r="I18" s="28"/>
      <c r="J18" s="29" t="s">
        <v>103</v>
      </c>
    </row>
    <row r="19" spans="2:10" x14ac:dyDescent="0.45">
      <c r="B19" s="25" t="s">
        <v>104</v>
      </c>
      <c r="C19" s="26" t="s">
        <v>105</v>
      </c>
      <c r="D19" s="32">
        <v>0.3</v>
      </c>
      <c r="E19" s="26" t="s">
        <v>96</v>
      </c>
      <c r="F19" s="28"/>
      <c r="G19" s="28"/>
      <c r="H19" s="28"/>
      <c r="I19" s="28"/>
      <c r="J19" s="29"/>
    </row>
    <row r="20" spans="2:10" ht="8" customHeight="1" x14ac:dyDescent="0.45"/>
  </sheetData>
  <mergeCells count="1">
    <mergeCell ref="B6:J6"/>
  </mergeCells>
  <dataValidations count="3">
    <dataValidation type="decimal" showErrorMessage="1" errorTitle="Value" error="Enter a value of zero or more." sqref="D11" xr:uid="{00000000-0002-0000-0100-000000000000}">
      <formula1>0</formula1>
      <formula2>1000000000000</formula2>
    </dataValidation>
    <dataValidation type="whole" showErrorMessage="1" errorTitle="Whole number" error="Enter a whole number." sqref="D17:D18" xr:uid="{00000000-0002-0000-0100-000001000000}">
      <formula1>0</formula1>
      <formula2>1000000</formula2>
    </dataValidation>
    <dataValidation type="decimal" showErrorMessage="1" errorTitle="Probability" error="Enter a value between 0% and 100%." sqref="D19" xr:uid="{00000000-0002-0000-0100-000003000000}">
      <formula1>0</formula1>
      <formula2>1</formula2>
    </dataValidation>
  </dataValidations>
  <hyperlinks>
    <hyperlink ref="B4" location="'About'!A1" display="◂  About" xr:uid="{00000000-0004-0000-0100-000000000000}"/>
    <hyperlink ref="J4" location="'Months'!A1" display="Next:  Month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129"/>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3" width="13" customWidth="1"/>
    <col min="4" max="4" width="12" customWidth="1"/>
    <col min="5" max="7" width="13" customWidth="1"/>
    <col min="8" max="8" width="2" customWidth="1"/>
    <col min="9" max="9" width="66"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106</v>
      </c>
      <c r="C3" s="1"/>
      <c r="D3" s="1"/>
      <c r="E3" s="1"/>
      <c r="F3" s="1"/>
      <c r="G3" s="1"/>
      <c r="H3" s="1"/>
      <c r="I3" s="1"/>
    </row>
    <row r="4" spans="1:9" ht="20" customHeight="1" x14ac:dyDescent="0.45">
      <c r="A4" s="5"/>
      <c r="B4" s="22" t="s">
        <v>107</v>
      </c>
      <c r="C4" s="5"/>
      <c r="D4" s="5"/>
      <c r="E4" s="5"/>
      <c r="F4" s="5"/>
      <c r="G4" s="5"/>
      <c r="H4" s="5"/>
      <c r="I4" s="6" t="s">
        <v>108</v>
      </c>
    </row>
    <row r="5" spans="1:9" ht="8" customHeight="1" x14ac:dyDescent="0.45"/>
    <row r="6" spans="1:9" ht="22.05" customHeight="1" x14ac:dyDescent="0.5">
      <c r="B6" s="7" t="s">
        <v>109</v>
      </c>
      <c r="C6" s="8"/>
      <c r="D6" s="8"/>
      <c r="E6" s="8"/>
      <c r="F6" s="8"/>
      <c r="G6" s="8"/>
      <c r="H6" s="8"/>
      <c r="I6" s="8"/>
    </row>
    <row r="7" spans="1:9" ht="18" customHeight="1" x14ac:dyDescent="0.45">
      <c r="B7" s="13" t="s">
        <v>58</v>
      </c>
    </row>
    <row r="8" spans="1:9" x14ac:dyDescent="0.45">
      <c r="B8" s="25" t="s">
        <v>57</v>
      </c>
      <c r="C8" s="28"/>
      <c r="D8" s="28"/>
      <c r="E8" s="26" t="s">
        <v>101</v>
      </c>
      <c r="F8" s="33" cm="1">
        <f t="array" aca="1" ref="F8" ca="1">_xll.VoseInput("Breakthrough month","month")+_xll.VoseStepUniform(Earliest,Latest)</f>
        <v>43</v>
      </c>
      <c r="G8" s="28"/>
      <c r="H8" s="28"/>
      <c r="I8" s="26" t="s">
        <v>110</v>
      </c>
    </row>
    <row r="9" spans="1:9" ht="8" customHeight="1" x14ac:dyDescent="0.45"/>
    <row r="10" spans="1:9" ht="22.05" customHeight="1" x14ac:dyDescent="0.5">
      <c r="B10" s="7" t="s">
        <v>111</v>
      </c>
      <c r="C10" s="8"/>
      <c r="D10" s="8"/>
      <c r="E10" s="8"/>
      <c r="F10" s="8"/>
      <c r="G10" s="8"/>
      <c r="H10" s="8"/>
      <c r="I10" s="8"/>
    </row>
    <row r="11" spans="1:9" ht="18" customHeight="1" x14ac:dyDescent="0.45">
      <c r="B11" s="13" t="s">
        <v>112</v>
      </c>
    </row>
    <row r="12" spans="1:9" ht="32" customHeight="1" x14ac:dyDescent="0.45">
      <c r="B12" s="34" t="s">
        <v>55</v>
      </c>
      <c r="C12" s="35" t="s">
        <v>113</v>
      </c>
      <c r="D12" s="35" t="s">
        <v>114</v>
      </c>
      <c r="E12" s="35" t="s">
        <v>115</v>
      </c>
      <c r="F12" s="35" t="s">
        <v>116</v>
      </c>
      <c r="G12" s="35" t="s">
        <v>117</v>
      </c>
      <c r="H12" s="36"/>
      <c r="I12" s="34" t="s">
        <v>118</v>
      </c>
    </row>
    <row r="13" spans="1:9" x14ac:dyDescent="0.45">
      <c r="B13" s="37"/>
      <c r="C13" s="37" t="s">
        <v>119</v>
      </c>
      <c r="D13" s="37" t="s">
        <v>120</v>
      </c>
      <c r="E13" s="37" t="s">
        <v>95</v>
      </c>
      <c r="F13" s="37" t="s">
        <v>95</v>
      </c>
      <c r="G13" s="37" t="s">
        <v>95</v>
      </c>
      <c r="H13" s="37"/>
      <c r="I13" s="37"/>
    </row>
    <row r="14" spans="1:9" x14ac:dyDescent="0.45">
      <c r="B14" s="38">
        <v>1</v>
      </c>
      <c r="C14" s="39">
        <f t="shared" ref="C14:C45" si="0">Rate0+Increase*B14</f>
        <v>89.3</v>
      </c>
      <c r="D14" s="40">
        <f t="shared" ref="D14:D45" ca="1" si="1">IF(B14&gt;=Breakthrough,1,0)</f>
        <v>0</v>
      </c>
      <c r="E14" s="41" cm="1">
        <f t="array" aca="1" ref="E14" ca="1">_xll.VosePoisson(C14)</f>
        <v>104</v>
      </c>
      <c r="F14" s="42" cm="1">
        <f t="array" aca="1" ref="F14" ca="1">_xll.VoseOutput("Month 1","deaths","Deaths with the cure",1)+_xll.VoseBinomial(E14,1-Prevented*D14)</f>
        <v>104</v>
      </c>
      <c r="G14" s="43">
        <f t="shared" ref="G14:G45" ca="1" si="2">E14-F14</f>
        <v>0</v>
      </c>
      <c r="H14" s="28"/>
      <c r="I14" s="26" t="s">
        <v>121</v>
      </c>
    </row>
    <row r="15" spans="1:9" x14ac:dyDescent="0.45">
      <c r="B15" s="38">
        <v>2</v>
      </c>
      <c r="C15" s="39">
        <f t="shared" si="0"/>
        <v>90.6</v>
      </c>
      <c r="D15" s="40">
        <f t="shared" ca="1" si="1"/>
        <v>0</v>
      </c>
      <c r="E15" s="41" cm="1">
        <f t="array" aca="1" ref="E15" ca="1">_xll.VosePoisson(C15)</f>
        <v>89</v>
      </c>
      <c r="F15" s="42" cm="1">
        <f t="array" aca="1" ref="F15" ca="1">_xll.VoseOutput("Month 2","deaths","Deaths with the cure",2)+_xll.VoseBinomial(E15,1-Prevented*D15)</f>
        <v>89</v>
      </c>
      <c r="G15" s="43">
        <f t="shared" ca="1" si="2"/>
        <v>0</v>
      </c>
      <c r="H15" s="28"/>
      <c r="I15" s="26" t="s">
        <v>122</v>
      </c>
    </row>
    <row r="16" spans="1:9" x14ac:dyDescent="0.45">
      <c r="B16" s="38">
        <v>3</v>
      </c>
      <c r="C16" s="39">
        <f t="shared" si="0"/>
        <v>91.9</v>
      </c>
      <c r="D16" s="40">
        <f t="shared" ca="1" si="1"/>
        <v>0</v>
      </c>
      <c r="E16" s="41" cm="1">
        <f t="array" aca="1" ref="E16" ca="1">_xll.VosePoisson(C16)</f>
        <v>96</v>
      </c>
      <c r="F16" s="42" cm="1">
        <f t="array" aca="1" ref="F16" ca="1">_xll.VoseOutput("Month 3","deaths","Deaths with the cure",3)+_xll.VoseBinomial(E16,1-Prevented*D16)</f>
        <v>96</v>
      </c>
      <c r="G16" s="43">
        <f t="shared" ca="1" si="2"/>
        <v>0</v>
      </c>
      <c r="H16" s="28"/>
      <c r="I16" s="26" t="s">
        <v>123</v>
      </c>
    </row>
    <row r="17" spans="2:9" x14ac:dyDescent="0.45">
      <c r="B17" s="38">
        <v>4</v>
      </c>
      <c r="C17" s="39">
        <f t="shared" si="0"/>
        <v>93.2</v>
      </c>
      <c r="D17" s="40">
        <f t="shared" ca="1" si="1"/>
        <v>0</v>
      </c>
      <c r="E17" s="41" cm="1">
        <f t="array" aca="1" ref="E17" ca="1">_xll.VosePoisson(C17)</f>
        <v>89</v>
      </c>
      <c r="F17" s="42" cm="1">
        <f t="array" aca="1" ref="F17" ca="1">_xll.VoseOutput("Month 4","deaths","Deaths with the cure",4)+_xll.VoseBinomial(E17,1-Prevented*D17)</f>
        <v>89</v>
      </c>
      <c r="G17" s="43">
        <f t="shared" ca="1" si="2"/>
        <v>0</v>
      </c>
      <c r="H17" s="28"/>
      <c r="I17" s="26" t="s">
        <v>124</v>
      </c>
    </row>
    <row r="18" spans="2:9" x14ac:dyDescent="0.45">
      <c r="B18" s="38">
        <v>5</v>
      </c>
      <c r="C18" s="39">
        <f t="shared" si="0"/>
        <v>94.5</v>
      </c>
      <c r="D18" s="40">
        <f t="shared" ca="1" si="1"/>
        <v>0</v>
      </c>
      <c r="E18" s="41" cm="1">
        <f t="array" aca="1" ref="E18" ca="1">_xll.VosePoisson(C18)</f>
        <v>103</v>
      </c>
      <c r="F18" s="42" cm="1">
        <f t="array" aca="1" ref="F18" ca="1">_xll.VoseOutput("Month 5","deaths","Deaths with the cure",5)+_xll.VoseBinomial(E18,1-Prevented*D18)</f>
        <v>103</v>
      </c>
      <c r="G18" s="43">
        <f t="shared" ca="1" si="2"/>
        <v>0</v>
      </c>
      <c r="H18" s="28"/>
      <c r="I18" s="26" t="s">
        <v>125</v>
      </c>
    </row>
    <row r="19" spans="2:9" x14ac:dyDescent="0.45">
      <c r="B19" s="38">
        <v>6</v>
      </c>
      <c r="C19" s="39">
        <f t="shared" si="0"/>
        <v>95.8</v>
      </c>
      <c r="D19" s="40">
        <f t="shared" ca="1" si="1"/>
        <v>0</v>
      </c>
      <c r="E19" s="41" cm="1">
        <f t="array" aca="1" ref="E19" ca="1">_xll.VosePoisson(C19)</f>
        <v>93</v>
      </c>
      <c r="F19" s="42" cm="1">
        <f t="array" aca="1" ref="F19" ca="1">_xll.VoseOutput("Month 6","deaths","Deaths with the cure",6)+_xll.VoseBinomial(E19,1-Prevented*D19)</f>
        <v>93</v>
      </c>
      <c r="G19" s="43">
        <f t="shared" ca="1" si="2"/>
        <v>0</v>
      </c>
      <c r="H19" s="28"/>
      <c r="I19" s="28"/>
    </row>
    <row r="20" spans="2:9" x14ac:dyDescent="0.45">
      <c r="B20" s="38">
        <v>7</v>
      </c>
      <c r="C20" s="39">
        <f t="shared" si="0"/>
        <v>97.1</v>
      </c>
      <c r="D20" s="40">
        <f t="shared" ca="1" si="1"/>
        <v>0</v>
      </c>
      <c r="E20" s="41" cm="1">
        <f t="array" aca="1" ref="E20" ca="1">_xll.VosePoisson(C20)</f>
        <v>95</v>
      </c>
      <c r="F20" s="42" cm="1">
        <f t="array" aca="1" ref="F20" ca="1">_xll.VoseOutput("Month 7","deaths","Deaths with the cure",7)+_xll.VoseBinomial(E20,1-Prevented*D20)</f>
        <v>95</v>
      </c>
      <c r="G20" s="43">
        <f t="shared" ca="1" si="2"/>
        <v>0</v>
      </c>
      <c r="H20" s="28"/>
      <c r="I20" s="28"/>
    </row>
    <row r="21" spans="2:9" x14ac:dyDescent="0.45">
      <c r="B21" s="38">
        <v>8</v>
      </c>
      <c r="C21" s="39">
        <f t="shared" si="0"/>
        <v>98.4</v>
      </c>
      <c r="D21" s="40">
        <f t="shared" ca="1" si="1"/>
        <v>0</v>
      </c>
      <c r="E21" s="41" cm="1">
        <f t="array" aca="1" ref="E21" ca="1">_xll.VosePoisson(C21)</f>
        <v>104</v>
      </c>
      <c r="F21" s="42" cm="1">
        <f t="array" aca="1" ref="F21" ca="1">_xll.VoseOutput("Month 8","deaths","Deaths with the cure",8)+_xll.VoseBinomial(E21,1-Prevented*D21)</f>
        <v>104</v>
      </c>
      <c r="G21" s="43">
        <f t="shared" ca="1" si="2"/>
        <v>0</v>
      </c>
      <c r="H21" s="28"/>
      <c r="I21" s="28"/>
    </row>
    <row r="22" spans="2:9" x14ac:dyDescent="0.45">
      <c r="B22" s="38">
        <v>9</v>
      </c>
      <c r="C22" s="39">
        <f t="shared" si="0"/>
        <v>99.7</v>
      </c>
      <c r="D22" s="40">
        <f t="shared" ca="1" si="1"/>
        <v>0</v>
      </c>
      <c r="E22" s="41" cm="1">
        <f t="array" aca="1" ref="E22" ca="1">_xll.VosePoisson(C22)</f>
        <v>104</v>
      </c>
      <c r="F22" s="42" cm="1">
        <f t="array" aca="1" ref="F22" ca="1">_xll.VoseOutput("Month 9","deaths","Deaths with the cure",9)+_xll.VoseBinomial(E22,1-Prevented*D22)</f>
        <v>104</v>
      </c>
      <c r="G22" s="43">
        <f t="shared" ca="1" si="2"/>
        <v>0</v>
      </c>
      <c r="H22" s="28"/>
      <c r="I22" s="28"/>
    </row>
    <row r="23" spans="2:9" x14ac:dyDescent="0.45">
      <c r="B23" s="38">
        <v>10</v>
      </c>
      <c r="C23" s="39">
        <f t="shared" si="0"/>
        <v>101</v>
      </c>
      <c r="D23" s="40">
        <f t="shared" ca="1" si="1"/>
        <v>0</v>
      </c>
      <c r="E23" s="41" cm="1">
        <f t="array" aca="1" ref="E23" ca="1">_xll.VosePoisson(C23)</f>
        <v>114</v>
      </c>
      <c r="F23" s="42" cm="1">
        <f t="array" aca="1" ref="F23" ca="1">_xll.VoseOutput("Month 10","deaths","Deaths with the cure",10)+_xll.VoseBinomial(E23,1-Prevented*D23)</f>
        <v>114</v>
      </c>
      <c r="G23" s="43">
        <f t="shared" ca="1" si="2"/>
        <v>0</v>
      </c>
      <c r="H23" s="28"/>
      <c r="I23" s="28"/>
    </row>
    <row r="24" spans="2:9" x14ac:dyDescent="0.45">
      <c r="B24" s="38">
        <v>11</v>
      </c>
      <c r="C24" s="39">
        <f t="shared" si="0"/>
        <v>102.3</v>
      </c>
      <c r="D24" s="40">
        <f t="shared" ca="1" si="1"/>
        <v>0</v>
      </c>
      <c r="E24" s="41" cm="1">
        <f t="array" aca="1" ref="E24" ca="1">_xll.VosePoisson(C24)</f>
        <v>85</v>
      </c>
      <c r="F24" s="42" cm="1">
        <f t="array" aca="1" ref="F24" ca="1">_xll.VoseOutput("Month 11","deaths","Deaths with the cure",11)+_xll.VoseBinomial(E24,1-Prevented*D24)</f>
        <v>85</v>
      </c>
      <c r="G24" s="43">
        <f t="shared" ca="1" si="2"/>
        <v>0</v>
      </c>
      <c r="H24" s="28"/>
      <c r="I24" s="28"/>
    </row>
    <row r="25" spans="2:9" x14ac:dyDescent="0.45">
      <c r="B25" s="38">
        <v>12</v>
      </c>
      <c r="C25" s="39">
        <f t="shared" si="0"/>
        <v>103.6</v>
      </c>
      <c r="D25" s="40">
        <f t="shared" ca="1" si="1"/>
        <v>0</v>
      </c>
      <c r="E25" s="41" cm="1">
        <f t="array" aca="1" ref="E25" ca="1">_xll.VosePoisson(C25)</f>
        <v>105</v>
      </c>
      <c r="F25" s="42" cm="1">
        <f t="array" aca="1" ref="F25" ca="1">_xll.VoseOutput("Month 12","deaths","Deaths with the cure",12)+_xll.VoseBinomial(E25,1-Prevented*D25)</f>
        <v>105</v>
      </c>
      <c r="G25" s="43">
        <f t="shared" ca="1" si="2"/>
        <v>0</v>
      </c>
      <c r="H25" s="28"/>
      <c r="I25" s="28"/>
    </row>
    <row r="26" spans="2:9" x14ac:dyDescent="0.45">
      <c r="B26" s="38">
        <v>13</v>
      </c>
      <c r="C26" s="39">
        <f t="shared" si="0"/>
        <v>104.9</v>
      </c>
      <c r="D26" s="40">
        <f t="shared" ca="1" si="1"/>
        <v>0</v>
      </c>
      <c r="E26" s="41" cm="1">
        <f t="array" aca="1" ref="E26" ca="1">_xll.VosePoisson(C26)</f>
        <v>114</v>
      </c>
      <c r="F26" s="42" cm="1">
        <f t="array" aca="1" ref="F26" ca="1">_xll.VoseOutput("Month 13","deaths","Deaths with the cure",13)+_xll.VoseBinomial(E26,1-Prevented*D26)</f>
        <v>114</v>
      </c>
      <c r="G26" s="43">
        <f t="shared" ca="1" si="2"/>
        <v>0</v>
      </c>
      <c r="H26" s="28"/>
      <c r="I26" s="28"/>
    </row>
    <row r="27" spans="2:9" x14ac:dyDescent="0.45">
      <c r="B27" s="38">
        <v>14</v>
      </c>
      <c r="C27" s="39">
        <f t="shared" si="0"/>
        <v>106.2</v>
      </c>
      <c r="D27" s="40">
        <f t="shared" ca="1" si="1"/>
        <v>0</v>
      </c>
      <c r="E27" s="41" cm="1">
        <f t="array" aca="1" ref="E27" ca="1">_xll.VosePoisson(C27)</f>
        <v>118</v>
      </c>
      <c r="F27" s="42" cm="1">
        <f t="array" aca="1" ref="F27" ca="1">_xll.VoseOutput("Month 14","deaths","Deaths with the cure",14)+_xll.VoseBinomial(E27,1-Prevented*D27)</f>
        <v>118</v>
      </c>
      <c r="G27" s="43">
        <f t="shared" ca="1" si="2"/>
        <v>0</v>
      </c>
      <c r="H27" s="28"/>
      <c r="I27" s="28"/>
    </row>
    <row r="28" spans="2:9" x14ac:dyDescent="0.45">
      <c r="B28" s="38">
        <v>15</v>
      </c>
      <c r="C28" s="39">
        <f t="shared" si="0"/>
        <v>107.5</v>
      </c>
      <c r="D28" s="40">
        <f t="shared" ca="1" si="1"/>
        <v>0</v>
      </c>
      <c r="E28" s="41" cm="1">
        <f t="array" aca="1" ref="E28" ca="1">_xll.VosePoisson(C28)</f>
        <v>96</v>
      </c>
      <c r="F28" s="42" cm="1">
        <f t="array" aca="1" ref="F28" ca="1">_xll.VoseOutput("Month 15","deaths","Deaths with the cure",15)+_xll.VoseBinomial(E28,1-Prevented*D28)</f>
        <v>96</v>
      </c>
      <c r="G28" s="43">
        <f t="shared" ca="1" si="2"/>
        <v>0</v>
      </c>
      <c r="H28" s="28"/>
      <c r="I28" s="28"/>
    </row>
    <row r="29" spans="2:9" x14ac:dyDescent="0.45">
      <c r="B29" s="38">
        <v>16</v>
      </c>
      <c r="C29" s="39">
        <f t="shared" si="0"/>
        <v>108.8</v>
      </c>
      <c r="D29" s="40">
        <f t="shared" ca="1" si="1"/>
        <v>0</v>
      </c>
      <c r="E29" s="41" cm="1">
        <f t="array" aca="1" ref="E29" ca="1">_xll.VosePoisson(C29)</f>
        <v>101</v>
      </c>
      <c r="F29" s="42" cm="1">
        <f t="array" aca="1" ref="F29" ca="1">_xll.VoseOutput("Month 16","deaths","Deaths with the cure",16)+_xll.VoseBinomial(E29,1-Prevented*D29)</f>
        <v>101</v>
      </c>
      <c r="G29" s="43">
        <f t="shared" ca="1" si="2"/>
        <v>0</v>
      </c>
      <c r="H29" s="28"/>
      <c r="I29" s="28"/>
    </row>
    <row r="30" spans="2:9" x14ac:dyDescent="0.45">
      <c r="B30" s="38">
        <v>17</v>
      </c>
      <c r="C30" s="39">
        <f t="shared" si="0"/>
        <v>110.1</v>
      </c>
      <c r="D30" s="40">
        <f t="shared" ca="1" si="1"/>
        <v>0</v>
      </c>
      <c r="E30" s="41" cm="1">
        <f t="array" aca="1" ref="E30" ca="1">_xll.VosePoisson(C30)</f>
        <v>102</v>
      </c>
      <c r="F30" s="42" cm="1">
        <f t="array" aca="1" ref="F30" ca="1">_xll.VoseOutput("Month 17","deaths","Deaths with the cure",17)+_xll.VoseBinomial(E30,1-Prevented*D30)</f>
        <v>102</v>
      </c>
      <c r="G30" s="43">
        <f t="shared" ca="1" si="2"/>
        <v>0</v>
      </c>
      <c r="H30" s="28"/>
      <c r="I30" s="28"/>
    </row>
    <row r="31" spans="2:9" x14ac:dyDescent="0.45">
      <c r="B31" s="38">
        <v>18</v>
      </c>
      <c r="C31" s="39">
        <f t="shared" si="0"/>
        <v>111.4</v>
      </c>
      <c r="D31" s="40">
        <f t="shared" ca="1" si="1"/>
        <v>0</v>
      </c>
      <c r="E31" s="41" cm="1">
        <f t="array" aca="1" ref="E31" ca="1">_xll.VosePoisson(C31)</f>
        <v>104</v>
      </c>
      <c r="F31" s="42" cm="1">
        <f t="array" aca="1" ref="F31" ca="1">_xll.VoseOutput("Month 18","deaths","Deaths with the cure",18)+_xll.VoseBinomial(E31,1-Prevented*D31)</f>
        <v>104</v>
      </c>
      <c r="G31" s="43">
        <f t="shared" ca="1" si="2"/>
        <v>0</v>
      </c>
      <c r="H31" s="28"/>
      <c r="I31" s="28"/>
    </row>
    <row r="32" spans="2:9" x14ac:dyDescent="0.45">
      <c r="B32" s="38">
        <v>19</v>
      </c>
      <c r="C32" s="39">
        <f t="shared" si="0"/>
        <v>112.7</v>
      </c>
      <c r="D32" s="40">
        <f t="shared" ca="1" si="1"/>
        <v>0</v>
      </c>
      <c r="E32" s="41" cm="1">
        <f t="array" aca="1" ref="E32" ca="1">_xll.VosePoisson(C32)</f>
        <v>130</v>
      </c>
      <c r="F32" s="42" cm="1">
        <f t="array" aca="1" ref="F32" ca="1">_xll.VoseOutput("Month 19","deaths","Deaths with the cure",19)+_xll.VoseBinomial(E32,1-Prevented*D32)</f>
        <v>130</v>
      </c>
      <c r="G32" s="43">
        <f t="shared" ca="1" si="2"/>
        <v>0</v>
      </c>
      <c r="H32" s="28"/>
      <c r="I32" s="28"/>
    </row>
    <row r="33" spans="2:9" x14ac:dyDescent="0.45">
      <c r="B33" s="38">
        <v>20</v>
      </c>
      <c r="C33" s="39">
        <f t="shared" si="0"/>
        <v>114</v>
      </c>
      <c r="D33" s="40">
        <f t="shared" ca="1" si="1"/>
        <v>0</v>
      </c>
      <c r="E33" s="41" cm="1">
        <f t="array" aca="1" ref="E33" ca="1">_xll.VosePoisson(C33)</f>
        <v>112</v>
      </c>
      <c r="F33" s="42" cm="1">
        <f t="array" aca="1" ref="F33" ca="1">_xll.VoseOutput("Month 20","deaths","Deaths with the cure",20)+_xll.VoseBinomial(E33,1-Prevented*D33)</f>
        <v>112</v>
      </c>
      <c r="G33" s="43">
        <f t="shared" ca="1" si="2"/>
        <v>0</v>
      </c>
      <c r="H33" s="28"/>
      <c r="I33" s="28"/>
    </row>
    <row r="34" spans="2:9" x14ac:dyDescent="0.45">
      <c r="B34" s="38">
        <v>21</v>
      </c>
      <c r="C34" s="39">
        <f t="shared" si="0"/>
        <v>115.3</v>
      </c>
      <c r="D34" s="40">
        <f t="shared" ca="1" si="1"/>
        <v>0</v>
      </c>
      <c r="E34" s="41" cm="1">
        <f t="array" aca="1" ref="E34" ca="1">_xll.VosePoisson(C34)</f>
        <v>117</v>
      </c>
      <c r="F34" s="42" cm="1">
        <f t="array" aca="1" ref="F34" ca="1">_xll.VoseOutput("Month 21","deaths","Deaths with the cure",21)+_xll.VoseBinomial(E34,1-Prevented*D34)</f>
        <v>117</v>
      </c>
      <c r="G34" s="43">
        <f t="shared" ca="1" si="2"/>
        <v>0</v>
      </c>
      <c r="H34" s="28"/>
      <c r="I34" s="28"/>
    </row>
    <row r="35" spans="2:9" x14ac:dyDescent="0.45">
      <c r="B35" s="38">
        <v>22</v>
      </c>
      <c r="C35" s="39">
        <f t="shared" si="0"/>
        <v>116.6</v>
      </c>
      <c r="D35" s="40">
        <f t="shared" ca="1" si="1"/>
        <v>0</v>
      </c>
      <c r="E35" s="41" cm="1">
        <f t="array" aca="1" ref="E35" ca="1">_xll.VosePoisson(C35)</f>
        <v>124</v>
      </c>
      <c r="F35" s="42" cm="1">
        <f t="array" aca="1" ref="F35" ca="1">_xll.VoseOutput("Month 22","deaths","Deaths with the cure",22)+_xll.VoseBinomial(E35,1-Prevented*D35)</f>
        <v>124</v>
      </c>
      <c r="G35" s="43">
        <f t="shared" ca="1" si="2"/>
        <v>0</v>
      </c>
      <c r="H35" s="28"/>
      <c r="I35" s="28"/>
    </row>
    <row r="36" spans="2:9" x14ac:dyDescent="0.45">
      <c r="B36" s="38">
        <v>23</v>
      </c>
      <c r="C36" s="39">
        <f t="shared" si="0"/>
        <v>117.9</v>
      </c>
      <c r="D36" s="40">
        <f t="shared" ca="1" si="1"/>
        <v>0</v>
      </c>
      <c r="E36" s="41" cm="1">
        <f t="array" aca="1" ref="E36" ca="1">_xll.VosePoisson(C36)</f>
        <v>105</v>
      </c>
      <c r="F36" s="42" cm="1">
        <f t="array" aca="1" ref="F36" ca="1">_xll.VoseOutput("Month 23","deaths","Deaths with the cure",23)+_xll.VoseBinomial(E36,1-Prevented*D36)</f>
        <v>105</v>
      </c>
      <c r="G36" s="43">
        <f t="shared" ca="1" si="2"/>
        <v>0</v>
      </c>
      <c r="H36" s="28"/>
      <c r="I36" s="28"/>
    </row>
    <row r="37" spans="2:9" x14ac:dyDescent="0.45">
      <c r="B37" s="38">
        <v>24</v>
      </c>
      <c r="C37" s="39">
        <f t="shared" si="0"/>
        <v>119.2</v>
      </c>
      <c r="D37" s="40">
        <f t="shared" ca="1" si="1"/>
        <v>0</v>
      </c>
      <c r="E37" s="41" cm="1">
        <f t="array" aca="1" ref="E37" ca="1">_xll.VosePoisson(C37)</f>
        <v>89</v>
      </c>
      <c r="F37" s="42" cm="1">
        <f t="array" aca="1" ref="F37" ca="1">_xll.VoseOutput("Month 24","deaths","Deaths with the cure",24)+_xll.VoseBinomial(E37,1-Prevented*D37)</f>
        <v>89</v>
      </c>
      <c r="G37" s="43">
        <f t="shared" ca="1" si="2"/>
        <v>0</v>
      </c>
      <c r="H37" s="28"/>
      <c r="I37" s="28"/>
    </row>
    <row r="38" spans="2:9" x14ac:dyDescent="0.45">
      <c r="B38" s="38">
        <v>25</v>
      </c>
      <c r="C38" s="39">
        <f t="shared" si="0"/>
        <v>120.5</v>
      </c>
      <c r="D38" s="40">
        <f t="shared" ca="1" si="1"/>
        <v>0</v>
      </c>
      <c r="E38" s="41" cm="1">
        <f t="array" aca="1" ref="E38" ca="1">_xll.VosePoisson(C38)</f>
        <v>119</v>
      </c>
      <c r="F38" s="42" cm="1">
        <f t="array" aca="1" ref="F38" ca="1">_xll.VoseOutput("Month 25","deaths","Deaths with the cure",25)+_xll.VoseBinomial(E38,1-Prevented*D38)</f>
        <v>119</v>
      </c>
      <c r="G38" s="43">
        <f t="shared" ca="1" si="2"/>
        <v>0</v>
      </c>
      <c r="H38" s="28"/>
      <c r="I38" s="28"/>
    </row>
    <row r="39" spans="2:9" x14ac:dyDescent="0.45">
      <c r="B39" s="38">
        <v>26</v>
      </c>
      <c r="C39" s="39">
        <f t="shared" si="0"/>
        <v>121.80000000000001</v>
      </c>
      <c r="D39" s="40">
        <f t="shared" ca="1" si="1"/>
        <v>0</v>
      </c>
      <c r="E39" s="41" cm="1">
        <f t="array" aca="1" ref="E39" ca="1">_xll.VosePoisson(C39)</f>
        <v>108</v>
      </c>
      <c r="F39" s="42" cm="1">
        <f t="array" aca="1" ref="F39" ca="1">_xll.VoseOutput("Month 26","deaths","Deaths with the cure",26)+_xll.VoseBinomial(E39,1-Prevented*D39)</f>
        <v>108</v>
      </c>
      <c r="G39" s="43">
        <f t="shared" ca="1" si="2"/>
        <v>0</v>
      </c>
      <c r="H39" s="28"/>
      <c r="I39" s="28"/>
    </row>
    <row r="40" spans="2:9" x14ac:dyDescent="0.45">
      <c r="B40" s="38">
        <v>27</v>
      </c>
      <c r="C40" s="39">
        <f t="shared" si="0"/>
        <v>123.1</v>
      </c>
      <c r="D40" s="40">
        <f t="shared" ca="1" si="1"/>
        <v>0</v>
      </c>
      <c r="E40" s="41" cm="1">
        <f t="array" aca="1" ref="E40" ca="1">_xll.VosePoisson(C40)</f>
        <v>119</v>
      </c>
      <c r="F40" s="42" cm="1">
        <f t="array" aca="1" ref="F40" ca="1">_xll.VoseOutput("Month 27","deaths","Deaths with the cure",27)+_xll.VoseBinomial(E40,1-Prevented*D40)</f>
        <v>119</v>
      </c>
      <c r="G40" s="43">
        <f t="shared" ca="1" si="2"/>
        <v>0</v>
      </c>
      <c r="H40" s="28"/>
      <c r="I40" s="28"/>
    </row>
    <row r="41" spans="2:9" x14ac:dyDescent="0.45">
      <c r="B41" s="38">
        <v>28</v>
      </c>
      <c r="C41" s="39">
        <f t="shared" si="0"/>
        <v>124.4</v>
      </c>
      <c r="D41" s="40">
        <f t="shared" ca="1" si="1"/>
        <v>0</v>
      </c>
      <c r="E41" s="41" cm="1">
        <f t="array" aca="1" ref="E41" ca="1">_xll.VosePoisson(C41)</f>
        <v>115</v>
      </c>
      <c r="F41" s="42" cm="1">
        <f t="array" aca="1" ref="F41" ca="1">_xll.VoseOutput("Month 28","deaths","Deaths with the cure",28)+_xll.VoseBinomial(E41,1-Prevented*D41)</f>
        <v>115</v>
      </c>
      <c r="G41" s="43">
        <f t="shared" ca="1" si="2"/>
        <v>0</v>
      </c>
      <c r="H41" s="28"/>
      <c r="I41" s="28"/>
    </row>
    <row r="42" spans="2:9" x14ac:dyDescent="0.45">
      <c r="B42" s="38">
        <v>29</v>
      </c>
      <c r="C42" s="39">
        <f t="shared" si="0"/>
        <v>125.7</v>
      </c>
      <c r="D42" s="40">
        <f t="shared" ca="1" si="1"/>
        <v>0</v>
      </c>
      <c r="E42" s="41" cm="1">
        <f t="array" aca="1" ref="E42" ca="1">_xll.VosePoisson(C42)</f>
        <v>112</v>
      </c>
      <c r="F42" s="42" cm="1">
        <f t="array" aca="1" ref="F42" ca="1">_xll.VoseOutput("Month 29","deaths","Deaths with the cure",29)+_xll.VoseBinomial(E42,1-Prevented*D42)</f>
        <v>112</v>
      </c>
      <c r="G42" s="43">
        <f t="shared" ca="1" si="2"/>
        <v>0</v>
      </c>
      <c r="H42" s="28"/>
      <c r="I42" s="28"/>
    </row>
    <row r="43" spans="2:9" x14ac:dyDescent="0.45">
      <c r="B43" s="38">
        <v>30</v>
      </c>
      <c r="C43" s="39">
        <f t="shared" si="0"/>
        <v>127</v>
      </c>
      <c r="D43" s="40">
        <f t="shared" ca="1" si="1"/>
        <v>0</v>
      </c>
      <c r="E43" s="41" cm="1">
        <f t="array" aca="1" ref="E43" ca="1">_xll.VosePoisson(C43)</f>
        <v>121</v>
      </c>
      <c r="F43" s="42" cm="1">
        <f t="array" aca="1" ref="F43" ca="1">_xll.VoseOutput("Month 30","deaths","Deaths with the cure",30)+_xll.VoseBinomial(E43,1-Prevented*D43)</f>
        <v>121</v>
      </c>
      <c r="G43" s="43">
        <f t="shared" ca="1" si="2"/>
        <v>0</v>
      </c>
      <c r="H43" s="28"/>
      <c r="I43" s="28"/>
    </row>
    <row r="44" spans="2:9" x14ac:dyDescent="0.45">
      <c r="B44" s="38">
        <v>31</v>
      </c>
      <c r="C44" s="39">
        <f t="shared" si="0"/>
        <v>128.30000000000001</v>
      </c>
      <c r="D44" s="40">
        <f t="shared" ca="1" si="1"/>
        <v>0</v>
      </c>
      <c r="E44" s="41" cm="1">
        <f t="array" aca="1" ref="E44" ca="1">_xll.VosePoisson(C44)</f>
        <v>118</v>
      </c>
      <c r="F44" s="42" cm="1">
        <f t="array" aca="1" ref="F44" ca="1">_xll.VoseOutput("Month 31","deaths","Deaths with the cure",31)+_xll.VoseBinomial(E44,1-Prevented*D44)</f>
        <v>118</v>
      </c>
      <c r="G44" s="43">
        <f t="shared" ca="1" si="2"/>
        <v>0</v>
      </c>
      <c r="H44" s="28"/>
      <c r="I44" s="28"/>
    </row>
    <row r="45" spans="2:9" x14ac:dyDescent="0.45">
      <c r="B45" s="38">
        <v>32</v>
      </c>
      <c r="C45" s="39">
        <f t="shared" si="0"/>
        <v>129.6</v>
      </c>
      <c r="D45" s="40">
        <f t="shared" ca="1" si="1"/>
        <v>0</v>
      </c>
      <c r="E45" s="41" cm="1">
        <f t="array" aca="1" ref="E45" ca="1">_xll.VosePoisson(C45)</f>
        <v>127</v>
      </c>
      <c r="F45" s="42" cm="1">
        <f t="array" aca="1" ref="F45" ca="1">_xll.VoseOutput("Month 32","deaths","Deaths with the cure",32)+_xll.VoseBinomial(E45,1-Prevented*D45)</f>
        <v>127</v>
      </c>
      <c r="G45" s="43">
        <f t="shared" ca="1" si="2"/>
        <v>0</v>
      </c>
      <c r="H45" s="28"/>
      <c r="I45" s="28"/>
    </row>
    <row r="46" spans="2:9" x14ac:dyDescent="0.45">
      <c r="B46" s="38">
        <v>33</v>
      </c>
      <c r="C46" s="39">
        <f t="shared" ref="C46:C77" si="3">Rate0+Increase*B46</f>
        <v>130.9</v>
      </c>
      <c r="D46" s="40">
        <f t="shared" ref="D46:D77" ca="1" si="4">IF(B46&gt;=Breakthrough,1,0)</f>
        <v>0</v>
      </c>
      <c r="E46" s="41" cm="1">
        <f t="array" aca="1" ref="E46" ca="1">_xll.VosePoisson(C46)</f>
        <v>119</v>
      </c>
      <c r="F46" s="42" cm="1">
        <f t="array" aca="1" ref="F46" ca="1">_xll.VoseOutput("Month 33","deaths","Deaths with the cure",33)+_xll.VoseBinomial(E46,1-Prevented*D46)</f>
        <v>119</v>
      </c>
      <c r="G46" s="43">
        <f t="shared" ref="G46:G77" ca="1" si="5">E46-F46</f>
        <v>0</v>
      </c>
      <c r="H46" s="28"/>
      <c r="I46" s="28"/>
    </row>
    <row r="47" spans="2:9" x14ac:dyDescent="0.45">
      <c r="B47" s="38">
        <v>34</v>
      </c>
      <c r="C47" s="39">
        <f t="shared" si="3"/>
        <v>132.19999999999999</v>
      </c>
      <c r="D47" s="40">
        <f t="shared" ca="1" si="4"/>
        <v>0</v>
      </c>
      <c r="E47" s="41" cm="1">
        <f t="array" aca="1" ref="E47" ca="1">_xll.VosePoisson(C47)</f>
        <v>145</v>
      </c>
      <c r="F47" s="42" cm="1">
        <f t="array" aca="1" ref="F47" ca="1">_xll.VoseOutput("Month 34","deaths","Deaths with the cure",34)+_xll.VoseBinomial(E47,1-Prevented*D47)</f>
        <v>145</v>
      </c>
      <c r="G47" s="43">
        <f t="shared" ca="1" si="5"/>
        <v>0</v>
      </c>
      <c r="H47" s="28"/>
      <c r="I47" s="28"/>
    </row>
    <row r="48" spans="2:9" x14ac:dyDescent="0.45">
      <c r="B48" s="38">
        <v>35</v>
      </c>
      <c r="C48" s="39">
        <f t="shared" si="3"/>
        <v>133.5</v>
      </c>
      <c r="D48" s="40">
        <f t="shared" ca="1" si="4"/>
        <v>0</v>
      </c>
      <c r="E48" s="41" cm="1">
        <f t="array" aca="1" ref="E48" ca="1">_xll.VosePoisson(C48)</f>
        <v>161</v>
      </c>
      <c r="F48" s="42" cm="1">
        <f t="array" aca="1" ref="F48" ca="1">_xll.VoseOutput("Month 35","deaths","Deaths with the cure",35)+_xll.VoseBinomial(E48,1-Prevented*D48)</f>
        <v>161</v>
      </c>
      <c r="G48" s="43">
        <f t="shared" ca="1" si="5"/>
        <v>0</v>
      </c>
      <c r="H48" s="28"/>
      <c r="I48" s="28"/>
    </row>
    <row r="49" spans="2:9" x14ac:dyDescent="0.45">
      <c r="B49" s="38">
        <v>36</v>
      </c>
      <c r="C49" s="39">
        <f t="shared" si="3"/>
        <v>134.80000000000001</v>
      </c>
      <c r="D49" s="40">
        <f t="shared" ca="1" si="4"/>
        <v>0</v>
      </c>
      <c r="E49" s="41" cm="1">
        <f t="array" aca="1" ref="E49" ca="1">_xll.VosePoisson(C49)</f>
        <v>126</v>
      </c>
      <c r="F49" s="42" cm="1">
        <f t="array" aca="1" ref="F49" ca="1">_xll.VoseOutput("Month 36","deaths","Deaths with the cure",36)+_xll.VoseBinomial(E49,1-Prevented*D49)</f>
        <v>126</v>
      </c>
      <c r="G49" s="43">
        <f t="shared" ca="1" si="5"/>
        <v>0</v>
      </c>
      <c r="H49" s="28"/>
      <c r="I49" s="28"/>
    </row>
    <row r="50" spans="2:9" x14ac:dyDescent="0.45">
      <c r="B50" s="38">
        <v>37</v>
      </c>
      <c r="C50" s="39">
        <f t="shared" si="3"/>
        <v>136.1</v>
      </c>
      <c r="D50" s="40">
        <f t="shared" ca="1" si="4"/>
        <v>0</v>
      </c>
      <c r="E50" s="41" cm="1">
        <f t="array" aca="1" ref="E50" ca="1">_xll.VosePoisson(C50)</f>
        <v>143</v>
      </c>
      <c r="F50" s="42" cm="1">
        <f t="array" aca="1" ref="F50" ca="1">_xll.VoseOutput("Month 37","deaths","Deaths with the cure",37)+_xll.VoseBinomial(E50,1-Prevented*D50)</f>
        <v>143</v>
      </c>
      <c r="G50" s="43">
        <f t="shared" ca="1" si="5"/>
        <v>0</v>
      </c>
      <c r="H50" s="28"/>
      <c r="I50" s="28"/>
    </row>
    <row r="51" spans="2:9" x14ac:dyDescent="0.45">
      <c r="B51" s="38">
        <v>38</v>
      </c>
      <c r="C51" s="39">
        <f t="shared" si="3"/>
        <v>137.4</v>
      </c>
      <c r="D51" s="40">
        <f t="shared" ca="1" si="4"/>
        <v>0</v>
      </c>
      <c r="E51" s="41" cm="1">
        <f t="array" aca="1" ref="E51" ca="1">_xll.VosePoisson(C51)</f>
        <v>149</v>
      </c>
      <c r="F51" s="42" cm="1">
        <f t="array" aca="1" ref="F51" ca="1">_xll.VoseOutput("Month 38","deaths","Deaths with the cure",38)+_xll.VoseBinomial(E51,1-Prevented*D51)</f>
        <v>149</v>
      </c>
      <c r="G51" s="43">
        <f t="shared" ca="1" si="5"/>
        <v>0</v>
      </c>
      <c r="H51" s="28"/>
      <c r="I51" s="28"/>
    </row>
    <row r="52" spans="2:9" x14ac:dyDescent="0.45">
      <c r="B52" s="38">
        <v>39</v>
      </c>
      <c r="C52" s="39">
        <f t="shared" si="3"/>
        <v>138.69999999999999</v>
      </c>
      <c r="D52" s="40">
        <f t="shared" ca="1" si="4"/>
        <v>0</v>
      </c>
      <c r="E52" s="41" cm="1">
        <f t="array" aca="1" ref="E52" ca="1">_xll.VosePoisson(C52)</f>
        <v>139</v>
      </c>
      <c r="F52" s="42" cm="1">
        <f t="array" aca="1" ref="F52" ca="1">_xll.VoseOutput("Month 39","deaths","Deaths with the cure",39)+_xll.VoseBinomial(E52,1-Prevented*D52)</f>
        <v>139</v>
      </c>
      <c r="G52" s="43">
        <f t="shared" ca="1" si="5"/>
        <v>0</v>
      </c>
      <c r="H52" s="28"/>
      <c r="I52" s="28"/>
    </row>
    <row r="53" spans="2:9" x14ac:dyDescent="0.45">
      <c r="B53" s="38">
        <v>40</v>
      </c>
      <c r="C53" s="39">
        <f t="shared" si="3"/>
        <v>140</v>
      </c>
      <c r="D53" s="40">
        <f t="shared" ca="1" si="4"/>
        <v>0</v>
      </c>
      <c r="E53" s="41" cm="1">
        <f t="array" aca="1" ref="E53" ca="1">_xll.VosePoisson(C53)</f>
        <v>124</v>
      </c>
      <c r="F53" s="42" cm="1">
        <f t="array" aca="1" ref="F53" ca="1">_xll.VoseOutput("Month 40","deaths","Deaths with the cure",40)+_xll.VoseBinomial(E53,1-Prevented*D53)</f>
        <v>124</v>
      </c>
      <c r="G53" s="43">
        <f t="shared" ca="1" si="5"/>
        <v>0</v>
      </c>
      <c r="H53" s="28"/>
      <c r="I53" s="28"/>
    </row>
    <row r="54" spans="2:9" x14ac:dyDescent="0.45">
      <c r="B54" s="38">
        <v>41</v>
      </c>
      <c r="C54" s="39">
        <f t="shared" si="3"/>
        <v>141.30000000000001</v>
      </c>
      <c r="D54" s="40">
        <f t="shared" ca="1" si="4"/>
        <v>0</v>
      </c>
      <c r="E54" s="41" cm="1">
        <f t="array" aca="1" ref="E54" ca="1">_xll.VosePoisson(C54)</f>
        <v>138</v>
      </c>
      <c r="F54" s="42" cm="1">
        <f t="array" aca="1" ref="F54" ca="1">_xll.VoseOutput("Month 41","deaths","Deaths with the cure",41)+_xll.VoseBinomial(E54,1-Prevented*D54)</f>
        <v>138</v>
      </c>
      <c r="G54" s="43">
        <f t="shared" ca="1" si="5"/>
        <v>0</v>
      </c>
      <c r="H54" s="28"/>
      <c r="I54" s="28"/>
    </row>
    <row r="55" spans="2:9" x14ac:dyDescent="0.45">
      <c r="B55" s="38">
        <v>42</v>
      </c>
      <c r="C55" s="39">
        <f t="shared" si="3"/>
        <v>142.6</v>
      </c>
      <c r="D55" s="40">
        <f t="shared" ca="1" si="4"/>
        <v>0</v>
      </c>
      <c r="E55" s="41" cm="1">
        <f t="array" aca="1" ref="E55" ca="1">_xll.VosePoisson(C55)</f>
        <v>149</v>
      </c>
      <c r="F55" s="42" cm="1">
        <f t="array" aca="1" ref="F55" ca="1">_xll.VoseOutput("Month 42","deaths","Deaths with the cure",42)+_xll.VoseBinomial(E55,1-Prevented*D55)</f>
        <v>149</v>
      </c>
      <c r="G55" s="43">
        <f t="shared" ca="1" si="5"/>
        <v>0</v>
      </c>
      <c r="H55" s="28"/>
      <c r="I55" s="28"/>
    </row>
    <row r="56" spans="2:9" x14ac:dyDescent="0.45">
      <c r="B56" s="38">
        <v>43</v>
      </c>
      <c r="C56" s="39">
        <f t="shared" si="3"/>
        <v>143.9</v>
      </c>
      <c r="D56" s="40">
        <f t="shared" ca="1" si="4"/>
        <v>1</v>
      </c>
      <c r="E56" s="41" cm="1">
        <f t="array" aca="1" ref="E56" ca="1">_xll.VosePoisson(C56)</f>
        <v>167</v>
      </c>
      <c r="F56" s="42" cm="1">
        <f t="array" aca="1" ref="F56" ca="1">_xll.VoseOutput("Month 43","deaths","Deaths with the cure",43)+_xll.VoseBinomial(E56,1-Prevented*D56)</f>
        <v>121</v>
      </c>
      <c r="G56" s="43">
        <f t="shared" ca="1" si="5"/>
        <v>46</v>
      </c>
      <c r="H56" s="28"/>
      <c r="I56" s="28"/>
    </row>
    <row r="57" spans="2:9" x14ac:dyDescent="0.45">
      <c r="B57" s="38">
        <v>44</v>
      </c>
      <c r="C57" s="39">
        <f t="shared" si="3"/>
        <v>145.19999999999999</v>
      </c>
      <c r="D57" s="40">
        <f t="shared" ca="1" si="4"/>
        <v>1</v>
      </c>
      <c r="E57" s="41" cm="1">
        <f t="array" aca="1" ref="E57" ca="1">_xll.VosePoisson(C57)</f>
        <v>153</v>
      </c>
      <c r="F57" s="42" cm="1">
        <f t="array" aca="1" ref="F57" ca="1">_xll.VoseOutput("Month 44","deaths","Deaths with the cure",44)+_xll.VoseBinomial(E57,1-Prevented*D57)</f>
        <v>110</v>
      </c>
      <c r="G57" s="43">
        <f t="shared" ca="1" si="5"/>
        <v>43</v>
      </c>
      <c r="H57" s="28"/>
      <c r="I57" s="28"/>
    </row>
    <row r="58" spans="2:9" x14ac:dyDescent="0.45">
      <c r="B58" s="38">
        <v>45</v>
      </c>
      <c r="C58" s="39">
        <f t="shared" si="3"/>
        <v>146.5</v>
      </c>
      <c r="D58" s="40">
        <f t="shared" ca="1" si="4"/>
        <v>1</v>
      </c>
      <c r="E58" s="41" cm="1">
        <f t="array" aca="1" ref="E58" ca="1">_xll.VosePoisson(C58)</f>
        <v>127</v>
      </c>
      <c r="F58" s="42" cm="1">
        <f t="array" aca="1" ref="F58" ca="1">_xll.VoseOutput("Month 45","deaths","Deaths with the cure",45)+_xll.VoseBinomial(E58,1-Prevented*D58)</f>
        <v>86</v>
      </c>
      <c r="G58" s="43">
        <f t="shared" ca="1" si="5"/>
        <v>41</v>
      </c>
      <c r="H58" s="28"/>
      <c r="I58" s="28"/>
    </row>
    <row r="59" spans="2:9" x14ac:dyDescent="0.45">
      <c r="B59" s="38">
        <v>46</v>
      </c>
      <c r="C59" s="39">
        <f t="shared" si="3"/>
        <v>147.80000000000001</v>
      </c>
      <c r="D59" s="40">
        <f t="shared" ca="1" si="4"/>
        <v>1</v>
      </c>
      <c r="E59" s="41" cm="1">
        <f t="array" aca="1" ref="E59" ca="1">_xll.VosePoisson(C59)</f>
        <v>153</v>
      </c>
      <c r="F59" s="42" cm="1">
        <f t="array" aca="1" ref="F59" ca="1">_xll.VoseOutput("Month 46","deaths","Deaths with the cure",46)+_xll.VoseBinomial(E59,1-Prevented*D59)</f>
        <v>111</v>
      </c>
      <c r="G59" s="43">
        <f t="shared" ca="1" si="5"/>
        <v>42</v>
      </c>
      <c r="H59" s="28"/>
      <c r="I59" s="28"/>
    </row>
    <row r="60" spans="2:9" x14ac:dyDescent="0.45">
      <c r="B60" s="38">
        <v>47</v>
      </c>
      <c r="C60" s="39">
        <f t="shared" si="3"/>
        <v>149.1</v>
      </c>
      <c r="D60" s="40">
        <f t="shared" ca="1" si="4"/>
        <v>1</v>
      </c>
      <c r="E60" s="41" cm="1">
        <f t="array" aca="1" ref="E60" ca="1">_xll.VosePoisson(C60)</f>
        <v>154</v>
      </c>
      <c r="F60" s="42" cm="1">
        <f t="array" aca="1" ref="F60" ca="1">_xll.VoseOutput("Month 47","deaths","Deaths with the cure",47)+_xll.VoseBinomial(E60,1-Prevented*D60)</f>
        <v>104</v>
      </c>
      <c r="G60" s="43">
        <f t="shared" ca="1" si="5"/>
        <v>50</v>
      </c>
      <c r="H60" s="28"/>
      <c r="I60" s="28"/>
    </row>
    <row r="61" spans="2:9" x14ac:dyDescent="0.45">
      <c r="B61" s="38">
        <v>48</v>
      </c>
      <c r="C61" s="39">
        <f t="shared" si="3"/>
        <v>150.4</v>
      </c>
      <c r="D61" s="40">
        <f t="shared" ca="1" si="4"/>
        <v>1</v>
      </c>
      <c r="E61" s="41" cm="1">
        <f t="array" aca="1" ref="E61" ca="1">_xll.VosePoisson(C61)</f>
        <v>172</v>
      </c>
      <c r="F61" s="42" cm="1">
        <f t="array" aca="1" ref="F61" ca="1">_xll.VoseOutput("Month 48","deaths","Deaths with the cure",48)+_xll.VoseBinomial(E61,1-Prevented*D61)</f>
        <v>118</v>
      </c>
      <c r="G61" s="43">
        <f t="shared" ca="1" si="5"/>
        <v>54</v>
      </c>
      <c r="H61" s="28"/>
      <c r="I61" s="28"/>
    </row>
    <row r="62" spans="2:9" x14ac:dyDescent="0.45">
      <c r="B62" s="38">
        <v>49</v>
      </c>
      <c r="C62" s="39">
        <f t="shared" si="3"/>
        <v>151.69999999999999</v>
      </c>
      <c r="D62" s="40">
        <f t="shared" ca="1" si="4"/>
        <v>1</v>
      </c>
      <c r="E62" s="41" cm="1">
        <f t="array" aca="1" ref="E62" ca="1">_xll.VosePoisson(C62)</f>
        <v>161</v>
      </c>
      <c r="F62" s="42" cm="1">
        <f t="array" aca="1" ref="F62" ca="1">_xll.VoseOutput("Month 49","deaths","Deaths with the cure",49)+_xll.VoseBinomial(E62,1-Prevented*D62)</f>
        <v>117</v>
      </c>
      <c r="G62" s="43">
        <f t="shared" ca="1" si="5"/>
        <v>44</v>
      </c>
      <c r="H62" s="28"/>
      <c r="I62" s="28"/>
    </row>
    <row r="63" spans="2:9" x14ac:dyDescent="0.45">
      <c r="B63" s="38">
        <v>50</v>
      </c>
      <c r="C63" s="39">
        <f t="shared" si="3"/>
        <v>153</v>
      </c>
      <c r="D63" s="40">
        <f t="shared" ca="1" si="4"/>
        <v>1</v>
      </c>
      <c r="E63" s="41" cm="1">
        <f t="array" aca="1" ref="E63" ca="1">_xll.VosePoisson(C63)</f>
        <v>165</v>
      </c>
      <c r="F63" s="42" cm="1">
        <f t="array" aca="1" ref="F63" ca="1">_xll.VoseOutput("Month 50","deaths","Deaths with the cure",50)+_xll.VoseBinomial(E63,1-Prevented*D63)</f>
        <v>117</v>
      </c>
      <c r="G63" s="43">
        <f t="shared" ca="1" si="5"/>
        <v>48</v>
      </c>
      <c r="H63" s="28"/>
      <c r="I63" s="28"/>
    </row>
    <row r="64" spans="2:9" x14ac:dyDescent="0.45">
      <c r="B64" s="38">
        <v>51</v>
      </c>
      <c r="C64" s="39">
        <f t="shared" si="3"/>
        <v>154.30000000000001</v>
      </c>
      <c r="D64" s="40">
        <f t="shared" ca="1" si="4"/>
        <v>1</v>
      </c>
      <c r="E64" s="41" cm="1">
        <f t="array" aca="1" ref="E64" ca="1">_xll.VosePoisson(C64)</f>
        <v>142</v>
      </c>
      <c r="F64" s="42" cm="1">
        <f t="array" aca="1" ref="F64" ca="1">_xll.VoseOutput("Month 51","deaths","Deaths with the cure",51)+_xll.VoseBinomial(E64,1-Prevented*D64)</f>
        <v>108</v>
      </c>
      <c r="G64" s="43">
        <f t="shared" ca="1" si="5"/>
        <v>34</v>
      </c>
      <c r="H64" s="28"/>
      <c r="I64" s="28"/>
    </row>
    <row r="65" spans="2:9" x14ac:dyDescent="0.45">
      <c r="B65" s="38">
        <v>52</v>
      </c>
      <c r="C65" s="39">
        <f t="shared" si="3"/>
        <v>155.60000000000002</v>
      </c>
      <c r="D65" s="40">
        <f t="shared" ca="1" si="4"/>
        <v>1</v>
      </c>
      <c r="E65" s="41" cm="1">
        <f t="array" aca="1" ref="E65" ca="1">_xll.VosePoisson(C65)</f>
        <v>161</v>
      </c>
      <c r="F65" s="42" cm="1">
        <f t="array" aca="1" ref="F65" ca="1">_xll.VoseOutput("Month 52","deaths","Deaths with the cure",52)+_xll.VoseBinomial(E65,1-Prevented*D65)</f>
        <v>100</v>
      </c>
      <c r="G65" s="43">
        <f t="shared" ca="1" si="5"/>
        <v>61</v>
      </c>
      <c r="H65" s="28"/>
      <c r="I65" s="28"/>
    </row>
    <row r="66" spans="2:9" x14ac:dyDescent="0.45">
      <c r="B66" s="38">
        <v>53</v>
      </c>
      <c r="C66" s="39">
        <f t="shared" si="3"/>
        <v>156.9</v>
      </c>
      <c r="D66" s="40">
        <f t="shared" ca="1" si="4"/>
        <v>1</v>
      </c>
      <c r="E66" s="41" cm="1">
        <f t="array" aca="1" ref="E66" ca="1">_xll.VosePoisson(C66)</f>
        <v>181</v>
      </c>
      <c r="F66" s="42" cm="1">
        <f t="array" aca="1" ref="F66" ca="1">_xll.VoseOutput("Month 53","deaths","Deaths with the cure",53)+_xll.VoseBinomial(E66,1-Prevented*D66)</f>
        <v>119</v>
      </c>
      <c r="G66" s="43">
        <f t="shared" ca="1" si="5"/>
        <v>62</v>
      </c>
      <c r="H66" s="28"/>
      <c r="I66" s="28"/>
    </row>
    <row r="67" spans="2:9" x14ac:dyDescent="0.45">
      <c r="B67" s="38">
        <v>54</v>
      </c>
      <c r="C67" s="39">
        <f t="shared" si="3"/>
        <v>158.19999999999999</v>
      </c>
      <c r="D67" s="40">
        <f t="shared" ca="1" si="4"/>
        <v>1</v>
      </c>
      <c r="E67" s="41" cm="1">
        <f t="array" aca="1" ref="E67" ca="1">_xll.VosePoisson(C67)</f>
        <v>159</v>
      </c>
      <c r="F67" s="42" cm="1">
        <f t="array" aca="1" ref="F67" ca="1">_xll.VoseOutput("Month 54","deaths","Deaths with the cure",54)+_xll.VoseBinomial(E67,1-Prevented*D67)</f>
        <v>115</v>
      </c>
      <c r="G67" s="43">
        <f t="shared" ca="1" si="5"/>
        <v>44</v>
      </c>
      <c r="H67" s="28"/>
      <c r="I67" s="28"/>
    </row>
    <row r="68" spans="2:9" x14ac:dyDescent="0.45">
      <c r="B68" s="38">
        <v>55</v>
      </c>
      <c r="C68" s="39">
        <f t="shared" si="3"/>
        <v>159.5</v>
      </c>
      <c r="D68" s="40">
        <f t="shared" ca="1" si="4"/>
        <v>1</v>
      </c>
      <c r="E68" s="41" cm="1">
        <f t="array" aca="1" ref="E68" ca="1">_xll.VosePoisson(C68)</f>
        <v>144</v>
      </c>
      <c r="F68" s="42" cm="1">
        <f t="array" aca="1" ref="F68" ca="1">_xll.VoseOutput("Month 55","deaths","Deaths with the cure",55)+_xll.VoseBinomial(E68,1-Prevented*D68)</f>
        <v>99</v>
      </c>
      <c r="G68" s="43">
        <f t="shared" ca="1" si="5"/>
        <v>45</v>
      </c>
      <c r="H68" s="28"/>
      <c r="I68" s="28"/>
    </row>
    <row r="69" spans="2:9" x14ac:dyDescent="0.45">
      <c r="B69" s="38">
        <v>56</v>
      </c>
      <c r="C69" s="39">
        <f t="shared" si="3"/>
        <v>160.80000000000001</v>
      </c>
      <c r="D69" s="40">
        <f t="shared" ca="1" si="4"/>
        <v>1</v>
      </c>
      <c r="E69" s="41" cm="1">
        <f t="array" aca="1" ref="E69" ca="1">_xll.VosePoisson(C69)</f>
        <v>148</v>
      </c>
      <c r="F69" s="42" cm="1">
        <f t="array" aca="1" ref="F69" ca="1">_xll.VoseOutput("Month 56","deaths","Deaths with the cure",56)+_xll.VoseBinomial(E69,1-Prevented*D69)</f>
        <v>102</v>
      </c>
      <c r="G69" s="43">
        <f t="shared" ca="1" si="5"/>
        <v>46</v>
      </c>
      <c r="H69" s="28"/>
      <c r="I69" s="28"/>
    </row>
    <row r="70" spans="2:9" x14ac:dyDescent="0.45">
      <c r="B70" s="38">
        <v>57</v>
      </c>
      <c r="C70" s="39">
        <f t="shared" si="3"/>
        <v>162.10000000000002</v>
      </c>
      <c r="D70" s="40">
        <f t="shared" ca="1" si="4"/>
        <v>1</v>
      </c>
      <c r="E70" s="41" cm="1">
        <f t="array" aca="1" ref="E70" ca="1">_xll.VosePoisson(C70)</f>
        <v>190</v>
      </c>
      <c r="F70" s="42" cm="1">
        <f t="array" aca="1" ref="F70" ca="1">_xll.VoseOutput("Month 57","deaths","Deaths with the cure",57)+_xll.VoseBinomial(E70,1-Prevented*D70)</f>
        <v>131</v>
      </c>
      <c r="G70" s="43">
        <f t="shared" ca="1" si="5"/>
        <v>59</v>
      </c>
      <c r="H70" s="28"/>
      <c r="I70" s="28"/>
    </row>
    <row r="71" spans="2:9" x14ac:dyDescent="0.45">
      <c r="B71" s="38">
        <v>58</v>
      </c>
      <c r="C71" s="39">
        <f t="shared" si="3"/>
        <v>163.4</v>
      </c>
      <c r="D71" s="40">
        <f t="shared" ca="1" si="4"/>
        <v>1</v>
      </c>
      <c r="E71" s="41" cm="1">
        <f t="array" aca="1" ref="E71" ca="1">_xll.VosePoisson(C71)</f>
        <v>150</v>
      </c>
      <c r="F71" s="42" cm="1">
        <f t="array" aca="1" ref="F71" ca="1">_xll.VoseOutput("Month 58","deaths","Deaths with the cure",58)+_xll.VoseBinomial(E71,1-Prevented*D71)</f>
        <v>106</v>
      </c>
      <c r="G71" s="43">
        <f t="shared" ca="1" si="5"/>
        <v>44</v>
      </c>
      <c r="H71" s="28"/>
      <c r="I71" s="28"/>
    </row>
    <row r="72" spans="2:9" x14ac:dyDescent="0.45">
      <c r="B72" s="38">
        <v>59</v>
      </c>
      <c r="C72" s="39">
        <f t="shared" si="3"/>
        <v>164.7</v>
      </c>
      <c r="D72" s="40">
        <f t="shared" ca="1" si="4"/>
        <v>1</v>
      </c>
      <c r="E72" s="41" cm="1">
        <f t="array" aca="1" ref="E72" ca="1">_xll.VosePoisson(C72)</f>
        <v>188</v>
      </c>
      <c r="F72" s="42" cm="1">
        <f t="array" aca="1" ref="F72" ca="1">_xll.VoseOutput("Month 59","deaths","Deaths with the cure",59)+_xll.VoseBinomial(E72,1-Prevented*D72)</f>
        <v>126</v>
      </c>
      <c r="G72" s="43">
        <f t="shared" ca="1" si="5"/>
        <v>62</v>
      </c>
      <c r="H72" s="28"/>
      <c r="I72" s="28"/>
    </row>
    <row r="73" spans="2:9" x14ac:dyDescent="0.45">
      <c r="B73" s="38">
        <v>60</v>
      </c>
      <c r="C73" s="39">
        <f t="shared" si="3"/>
        <v>166</v>
      </c>
      <c r="D73" s="40">
        <f t="shared" ca="1" si="4"/>
        <v>1</v>
      </c>
      <c r="E73" s="41" cm="1">
        <f t="array" aca="1" ref="E73" ca="1">_xll.VosePoisson(C73)</f>
        <v>159</v>
      </c>
      <c r="F73" s="42" cm="1">
        <f t="array" aca="1" ref="F73" ca="1">_xll.VoseOutput("Month 60","deaths","Deaths with the cure",60)+_xll.VoseBinomial(E73,1-Prevented*D73)</f>
        <v>105</v>
      </c>
      <c r="G73" s="43">
        <f t="shared" ca="1" si="5"/>
        <v>54</v>
      </c>
      <c r="H73" s="28"/>
      <c r="I73" s="28"/>
    </row>
    <row r="74" spans="2:9" x14ac:dyDescent="0.45">
      <c r="B74" s="38">
        <v>61</v>
      </c>
      <c r="C74" s="39">
        <f t="shared" si="3"/>
        <v>167.3</v>
      </c>
      <c r="D74" s="40">
        <f t="shared" ca="1" si="4"/>
        <v>1</v>
      </c>
      <c r="E74" s="41" cm="1">
        <f t="array" aca="1" ref="E74" ca="1">_xll.VosePoisson(C74)</f>
        <v>141</v>
      </c>
      <c r="F74" s="42" cm="1">
        <f t="array" aca="1" ref="F74" ca="1">_xll.VoseOutput("Month 61","deaths","Deaths with the cure",61)+_xll.VoseBinomial(E74,1-Prevented*D74)</f>
        <v>99</v>
      </c>
      <c r="G74" s="43">
        <f t="shared" ca="1" si="5"/>
        <v>42</v>
      </c>
      <c r="H74" s="28"/>
      <c r="I74" s="28"/>
    </row>
    <row r="75" spans="2:9" x14ac:dyDescent="0.45">
      <c r="B75" s="38">
        <v>62</v>
      </c>
      <c r="C75" s="39">
        <f t="shared" si="3"/>
        <v>168.60000000000002</v>
      </c>
      <c r="D75" s="40">
        <f t="shared" ca="1" si="4"/>
        <v>1</v>
      </c>
      <c r="E75" s="41" cm="1">
        <f t="array" aca="1" ref="E75" ca="1">_xll.VosePoisson(C75)</f>
        <v>163</v>
      </c>
      <c r="F75" s="42" cm="1">
        <f t="array" aca="1" ref="F75" ca="1">_xll.VoseOutput("Month 62","deaths","Deaths with the cure",62)+_xll.VoseBinomial(E75,1-Prevented*D75)</f>
        <v>110</v>
      </c>
      <c r="G75" s="43">
        <f t="shared" ca="1" si="5"/>
        <v>53</v>
      </c>
      <c r="H75" s="28"/>
      <c r="I75" s="28"/>
    </row>
    <row r="76" spans="2:9" x14ac:dyDescent="0.45">
      <c r="B76" s="38">
        <v>63</v>
      </c>
      <c r="C76" s="39">
        <f t="shared" si="3"/>
        <v>169.9</v>
      </c>
      <c r="D76" s="40">
        <f t="shared" ca="1" si="4"/>
        <v>1</v>
      </c>
      <c r="E76" s="41" cm="1">
        <f t="array" aca="1" ref="E76" ca="1">_xll.VosePoisson(C76)</f>
        <v>195</v>
      </c>
      <c r="F76" s="42" cm="1">
        <f t="array" aca="1" ref="F76" ca="1">_xll.VoseOutput("Month 63","deaths","Deaths with the cure",63)+_xll.VoseBinomial(E76,1-Prevented*D76)</f>
        <v>142</v>
      </c>
      <c r="G76" s="43">
        <f t="shared" ca="1" si="5"/>
        <v>53</v>
      </c>
      <c r="H76" s="28"/>
      <c r="I76" s="28"/>
    </row>
    <row r="77" spans="2:9" x14ac:dyDescent="0.45">
      <c r="B77" s="38">
        <v>64</v>
      </c>
      <c r="C77" s="39">
        <f t="shared" si="3"/>
        <v>171.2</v>
      </c>
      <c r="D77" s="40">
        <f t="shared" ca="1" si="4"/>
        <v>1</v>
      </c>
      <c r="E77" s="41" cm="1">
        <f t="array" aca="1" ref="E77" ca="1">_xll.VosePoisson(C77)</f>
        <v>160</v>
      </c>
      <c r="F77" s="42" cm="1">
        <f t="array" aca="1" ref="F77" ca="1">_xll.VoseOutput("Month 64","deaths","Deaths with the cure",64)+_xll.VoseBinomial(E77,1-Prevented*D77)</f>
        <v>122</v>
      </c>
      <c r="G77" s="43">
        <f t="shared" ca="1" si="5"/>
        <v>38</v>
      </c>
      <c r="H77" s="28"/>
      <c r="I77" s="28"/>
    </row>
    <row r="78" spans="2:9" x14ac:dyDescent="0.45">
      <c r="B78" s="38">
        <v>65</v>
      </c>
      <c r="C78" s="39">
        <f t="shared" ref="C78:C109" si="6">Rate0+Increase*B78</f>
        <v>172.5</v>
      </c>
      <c r="D78" s="40">
        <f t="shared" ref="D78:D113" ca="1" si="7">IF(B78&gt;=Breakthrough,1,0)</f>
        <v>1</v>
      </c>
      <c r="E78" s="41" cm="1">
        <f t="array" aca="1" ref="E78" ca="1">_xll.VosePoisson(C78)</f>
        <v>169</v>
      </c>
      <c r="F78" s="42" cm="1">
        <f t="array" aca="1" ref="F78" ca="1">_xll.VoseOutput("Month 65","deaths","Deaths with the cure",65)+_xll.VoseBinomial(E78,1-Prevented*D78)</f>
        <v>111</v>
      </c>
      <c r="G78" s="43">
        <f t="shared" ref="G78:G109" ca="1" si="8">E78-F78</f>
        <v>58</v>
      </c>
      <c r="H78" s="28"/>
      <c r="I78" s="28"/>
    </row>
    <row r="79" spans="2:9" x14ac:dyDescent="0.45">
      <c r="B79" s="38">
        <v>66</v>
      </c>
      <c r="C79" s="39">
        <f t="shared" si="6"/>
        <v>173.8</v>
      </c>
      <c r="D79" s="40">
        <f t="shared" ca="1" si="7"/>
        <v>1</v>
      </c>
      <c r="E79" s="41" cm="1">
        <f t="array" aca="1" ref="E79" ca="1">_xll.VosePoisson(C79)</f>
        <v>161</v>
      </c>
      <c r="F79" s="42" cm="1">
        <f t="array" aca="1" ref="F79" ca="1">_xll.VoseOutput("Month 66","deaths","Deaths with the cure",66)+_xll.VoseBinomial(E79,1-Prevented*D79)</f>
        <v>109</v>
      </c>
      <c r="G79" s="43">
        <f t="shared" ca="1" si="8"/>
        <v>52</v>
      </c>
      <c r="H79" s="28"/>
      <c r="I79" s="28"/>
    </row>
    <row r="80" spans="2:9" x14ac:dyDescent="0.45">
      <c r="B80" s="38">
        <v>67</v>
      </c>
      <c r="C80" s="39">
        <f t="shared" si="6"/>
        <v>175.10000000000002</v>
      </c>
      <c r="D80" s="40">
        <f t="shared" ca="1" si="7"/>
        <v>1</v>
      </c>
      <c r="E80" s="41" cm="1">
        <f t="array" aca="1" ref="E80" ca="1">_xll.VosePoisson(C80)</f>
        <v>160</v>
      </c>
      <c r="F80" s="42" cm="1">
        <f t="array" aca="1" ref="F80" ca="1">_xll.VoseOutput("Month 67","deaths","Deaths with the cure",67)+_xll.VoseBinomial(E80,1-Prevented*D80)</f>
        <v>115</v>
      </c>
      <c r="G80" s="43">
        <f t="shared" ca="1" si="8"/>
        <v>45</v>
      </c>
      <c r="H80" s="28"/>
      <c r="I80" s="28"/>
    </row>
    <row r="81" spans="2:9" x14ac:dyDescent="0.45">
      <c r="B81" s="38">
        <v>68</v>
      </c>
      <c r="C81" s="39">
        <f t="shared" si="6"/>
        <v>176.4</v>
      </c>
      <c r="D81" s="40">
        <f t="shared" ca="1" si="7"/>
        <v>1</v>
      </c>
      <c r="E81" s="41" cm="1">
        <f t="array" aca="1" ref="E81" ca="1">_xll.VosePoisson(C81)</f>
        <v>182</v>
      </c>
      <c r="F81" s="42" cm="1">
        <f t="array" aca="1" ref="F81" ca="1">_xll.VoseOutput("Month 68","deaths","Deaths with the cure",68)+_xll.VoseBinomial(E81,1-Prevented*D81)</f>
        <v>125</v>
      </c>
      <c r="G81" s="43">
        <f t="shared" ca="1" si="8"/>
        <v>57</v>
      </c>
      <c r="H81" s="28"/>
      <c r="I81" s="28"/>
    </row>
    <row r="82" spans="2:9" x14ac:dyDescent="0.45">
      <c r="B82" s="38">
        <v>69</v>
      </c>
      <c r="C82" s="39">
        <f t="shared" si="6"/>
        <v>177.7</v>
      </c>
      <c r="D82" s="40">
        <f t="shared" ca="1" si="7"/>
        <v>1</v>
      </c>
      <c r="E82" s="41" cm="1">
        <f t="array" aca="1" ref="E82" ca="1">_xll.VosePoisson(C82)</f>
        <v>201</v>
      </c>
      <c r="F82" s="42" cm="1">
        <f t="array" aca="1" ref="F82" ca="1">_xll.VoseOutput("Month 69","deaths","Deaths with the cure",69)+_xll.VoseBinomial(E82,1-Prevented*D82)</f>
        <v>143</v>
      </c>
      <c r="G82" s="43">
        <f t="shared" ca="1" si="8"/>
        <v>58</v>
      </c>
      <c r="H82" s="28"/>
      <c r="I82" s="28"/>
    </row>
    <row r="83" spans="2:9" x14ac:dyDescent="0.45">
      <c r="B83" s="38">
        <v>70</v>
      </c>
      <c r="C83" s="39">
        <f t="shared" si="6"/>
        <v>179</v>
      </c>
      <c r="D83" s="40">
        <f t="shared" ca="1" si="7"/>
        <v>1</v>
      </c>
      <c r="E83" s="41" cm="1">
        <f t="array" aca="1" ref="E83" ca="1">_xll.VosePoisson(C83)</f>
        <v>170</v>
      </c>
      <c r="F83" s="42" cm="1">
        <f t="array" aca="1" ref="F83" ca="1">_xll.VoseOutput("Month 70","deaths","Deaths with the cure",70)+_xll.VoseBinomial(E83,1-Prevented*D83)</f>
        <v>111</v>
      </c>
      <c r="G83" s="43">
        <f t="shared" ca="1" si="8"/>
        <v>59</v>
      </c>
      <c r="H83" s="28"/>
      <c r="I83" s="28"/>
    </row>
    <row r="84" spans="2:9" x14ac:dyDescent="0.45">
      <c r="B84" s="38">
        <v>71</v>
      </c>
      <c r="C84" s="39">
        <f t="shared" si="6"/>
        <v>180.3</v>
      </c>
      <c r="D84" s="40">
        <f t="shared" ca="1" si="7"/>
        <v>1</v>
      </c>
      <c r="E84" s="41" cm="1">
        <f t="array" aca="1" ref="E84" ca="1">_xll.VosePoisson(C84)</f>
        <v>195</v>
      </c>
      <c r="F84" s="42" cm="1">
        <f t="array" aca="1" ref="F84" ca="1">_xll.VoseOutput("Month 71","deaths","Deaths with the cure",71)+_xll.VoseBinomial(E84,1-Prevented*D84)</f>
        <v>122</v>
      </c>
      <c r="G84" s="43">
        <f t="shared" ca="1" si="8"/>
        <v>73</v>
      </c>
      <c r="H84" s="28"/>
      <c r="I84" s="28"/>
    </row>
    <row r="85" spans="2:9" x14ac:dyDescent="0.45">
      <c r="B85" s="38">
        <v>72</v>
      </c>
      <c r="C85" s="39">
        <f t="shared" si="6"/>
        <v>181.60000000000002</v>
      </c>
      <c r="D85" s="40">
        <f t="shared" ca="1" si="7"/>
        <v>1</v>
      </c>
      <c r="E85" s="41" cm="1">
        <f t="array" aca="1" ref="E85" ca="1">_xll.VosePoisson(C85)</f>
        <v>193</v>
      </c>
      <c r="F85" s="42" cm="1">
        <f t="array" aca="1" ref="F85" ca="1">_xll.VoseOutput("Month 72","deaths","Deaths with the cure",72)+_xll.VoseBinomial(E85,1-Prevented*D85)</f>
        <v>120</v>
      </c>
      <c r="G85" s="43">
        <f t="shared" ca="1" si="8"/>
        <v>73</v>
      </c>
      <c r="H85" s="28"/>
      <c r="I85" s="28"/>
    </row>
    <row r="86" spans="2:9" x14ac:dyDescent="0.45">
      <c r="B86" s="38">
        <v>73</v>
      </c>
      <c r="C86" s="39">
        <f t="shared" si="6"/>
        <v>182.9</v>
      </c>
      <c r="D86" s="40">
        <f t="shared" ca="1" si="7"/>
        <v>1</v>
      </c>
      <c r="E86" s="41" cm="1">
        <f t="array" aca="1" ref="E86" ca="1">_xll.VosePoisson(C86)</f>
        <v>177</v>
      </c>
      <c r="F86" s="42" cm="1">
        <f t="array" aca="1" ref="F86" ca="1">_xll.VoseOutput("Month 73","deaths","Deaths with the cure",73)+_xll.VoseBinomial(E86,1-Prevented*D86)</f>
        <v>122</v>
      </c>
      <c r="G86" s="43">
        <f t="shared" ca="1" si="8"/>
        <v>55</v>
      </c>
      <c r="H86" s="28"/>
      <c r="I86" s="28"/>
    </row>
    <row r="87" spans="2:9" x14ac:dyDescent="0.45">
      <c r="B87" s="38">
        <v>74</v>
      </c>
      <c r="C87" s="39">
        <f t="shared" si="6"/>
        <v>184.2</v>
      </c>
      <c r="D87" s="40">
        <f t="shared" ca="1" si="7"/>
        <v>1</v>
      </c>
      <c r="E87" s="41" cm="1">
        <f t="array" aca="1" ref="E87" ca="1">_xll.VosePoisson(C87)</f>
        <v>197</v>
      </c>
      <c r="F87" s="42" cm="1">
        <f t="array" aca="1" ref="F87" ca="1">_xll.VoseOutput("Month 74","deaths","Deaths with the cure",74)+_xll.VoseBinomial(E87,1-Prevented*D87)</f>
        <v>146</v>
      </c>
      <c r="G87" s="43">
        <f t="shared" ca="1" si="8"/>
        <v>51</v>
      </c>
      <c r="H87" s="28"/>
      <c r="I87" s="28"/>
    </row>
    <row r="88" spans="2:9" x14ac:dyDescent="0.45">
      <c r="B88" s="38">
        <v>75</v>
      </c>
      <c r="C88" s="39">
        <f t="shared" si="6"/>
        <v>185.5</v>
      </c>
      <c r="D88" s="40">
        <f t="shared" ca="1" si="7"/>
        <v>1</v>
      </c>
      <c r="E88" s="41" cm="1">
        <f t="array" aca="1" ref="E88" ca="1">_xll.VosePoisson(C88)</f>
        <v>192</v>
      </c>
      <c r="F88" s="42" cm="1">
        <f t="array" aca="1" ref="F88" ca="1">_xll.VoseOutput("Month 75","deaths","Deaths with the cure",75)+_xll.VoseBinomial(E88,1-Prevented*D88)</f>
        <v>137</v>
      </c>
      <c r="G88" s="43">
        <f t="shared" ca="1" si="8"/>
        <v>55</v>
      </c>
      <c r="H88" s="28"/>
      <c r="I88" s="28"/>
    </row>
    <row r="89" spans="2:9" x14ac:dyDescent="0.45">
      <c r="B89" s="38">
        <v>76</v>
      </c>
      <c r="C89" s="39">
        <f t="shared" si="6"/>
        <v>186.8</v>
      </c>
      <c r="D89" s="40">
        <f t="shared" ca="1" si="7"/>
        <v>1</v>
      </c>
      <c r="E89" s="41" cm="1">
        <f t="array" aca="1" ref="E89" ca="1">_xll.VosePoisson(C89)</f>
        <v>184</v>
      </c>
      <c r="F89" s="42" cm="1">
        <f t="array" aca="1" ref="F89" ca="1">_xll.VoseOutput("Month 76","deaths","Deaths with the cure",76)+_xll.VoseBinomial(E89,1-Prevented*D89)</f>
        <v>136</v>
      </c>
      <c r="G89" s="43">
        <f t="shared" ca="1" si="8"/>
        <v>48</v>
      </c>
      <c r="H89" s="28"/>
      <c r="I89" s="28"/>
    </row>
    <row r="90" spans="2:9" x14ac:dyDescent="0.45">
      <c r="B90" s="38">
        <v>77</v>
      </c>
      <c r="C90" s="39">
        <f t="shared" si="6"/>
        <v>188.10000000000002</v>
      </c>
      <c r="D90" s="40">
        <f t="shared" ca="1" si="7"/>
        <v>1</v>
      </c>
      <c r="E90" s="41" cm="1">
        <f t="array" aca="1" ref="E90" ca="1">_xll.VosePoisson(C90)</f>
        <v>193</v>
      </c>
      <c r="F90" s="42" cm="1">
        <f t="array" aca="1" ref="F90" ca="1">_xll.VoseOutput("Month 77","deaths","Deaths with the cure",77)+_xll.VoseBinomial(E90,1-Prevented*D90)</f>
        <v>132</v>
      </c>
      <c r="G90" s="43">
        <f t="shared" ca="1" si="8"/>
        <v>61</v>
      </c>
      <c r="H90" s="28"/>
      <c r="I90" s="28"/>
    </row>
    <row r="91" spans="2:9" x14ac:dyDescent="0.45">
      <c r="B91" s="38">
        <v>78</v>
      </c>
      <c r="C91" s="39">
        <f t="shared" si="6"/>
        <v>189.4</v>
      </c>
      <c r="D91" s="40">
        <f t="shared" ca="1" si="7"/>
        <v>1</v>
      </c>
      <c r="E91" s="41" cm="1">
        <f t="array" aca="1" ref="E91" ca="1">_xll.VosePoisson(C91)</f>
        <v>181</v>
      </c>
      <c r="F91" s="42" cm="1">
        <f t="array" aca="1" ref="F91" ca="1">_xll.VoseOutput("Month 78","deaths","Deaths with the cure",78)+_xll.VoseBinomial(E91,1-Prevented*D91)</f>
        <v>124</v>
      </c>
      <c r="G91" s="43">
        <f t="shared" ca="1" si="8"/>
        <v>57</v>
      </c>
      <c r="H91" s="28"/>
      <c r="I91" s="28"/>
    </row>
    <row r="92" spans="2:9" x14ac:dyDescent="0.45">
      <c r="B92" s="38">
        <v>79</v>
      </c>
      <c r="C92" s="39">
        <f t="shared" si="6"/>
        <v>190.7</v>
      </c>
      <c r="D92" s="40">
        <f t="shared" ca="1" si="7"/>
        <v>1</v>
      </c>
      <c r="E92" s="41" cm="1">
        <f t="array" aca="1" ref="E92" ca="1">_xll.VosePoisson(C92)</f>
        <v>186</v>
      </c>
      <c r="F92" s="42" cm="1">
        <f t="array" aca="1" ref="F92" ca="1">_xll.VoseOutput("Month 79","deaths","Deaths with the cure",79)+_xll.VoseBinomial(E92,1-Prevented*D92)</f>
        <v>130</v>
      </c>
      <c r="G92" s="43">
        <f t="shared" ca="1" si="8"/>
        <v>56</v>
      </c>
      <c r="H92" s="28"/>
      <c r="I92" s="28"/>
    </row>
    <row r="93" spans="2:9" x14ac:dyDescent="0.45">
      <c r="B93" s="38">
        <v>80</v>
      </c>
      <c r="C93" s="39">
        <f t="shared" si="6"/>
        <v>192</v>
      </c>
      <c r="D93" s="40">
        <f t="shared" ca="1" si="7"/>
        <v>1</v>
      </c>
      <c r="E93" s="41" cm="1">
        <f t="array" aca="1" ref="E93" ca="1">_xll.VosePoisson(C93)</f>
        <v>183</v>
      </c>
      <c r="F93" s="42" cm="1">
        <f t="array" aca="1" ref="F93" ca="1">_xll.VoseOutput("Month 80","deaths","Deaths with the cure",80)+_xll.VoseBinomial(E93,1-Prevented*D93)</f>
        <v>127</v>
      </c>
      <c r="G93" s="43">
        <f t="shared" ca="1" si="8"/>
        <v>56</v>
      </c>
      <c r="H93" s="28"/>
      <c r="I93" s="28"/>
    </row>
    <row r="94" spans="2:9" x14ac:dyDescent="0.45">
      <c r="B94" s="38">
        <v>81</v>
      </c>
      <c r="C94" s="39">
        <f t="shared" si="6"/>
        <v>193.3</v>
      </c>
      <c r="D94" s="40">
        <f t="shared" ca="1" si="7"/>
        <v>1</v>
      </c>
      <c r="E94" s="41" cm="1">
        <f t="array" aca="1" ref="E94" ca="1">_xll.VosePoisson(C94)</f>
        <v>214</v>
      </c>
      <c r="F94" s="42" cm="1">
        <f t="array" aca="1" ref="F94" ca="1">_xll.VoseOutput("Month 81","deaths","Deaths with the cure",81)+_xll.VoseBinomial(E94,1-Prevented*D94)</f>
        <v>152</v>
      </c>
      <c r="G94" s="43">
        <f t="shared" ca="1" si="8"/>
        <v>62</v>
      </c>
      <c r="H94" s="28"/>
      <c r="I94" s="28"/>
    </row>
    <row r="95" spans="2:9" x14ac:dyDescent="0.45">
      <c r="B95" s="38">
        <v>82</v>
      </c>
      <c r="C95" s="39">
        <f t="shared" si="6"/>
        <v>194.60000000000002</v>
      </c>
      <c r="D95" s="40">
        <f t="shared" ca="1" si="7"/>
        <v>1</v>
      </c>
      <c r="E95" s="41" cm="1">
        <f t="array" aca="1" ref="E95" ca="1">_xll.VosePoisson(C95)</f>
        <v>187</v>
      </c>
      <c r="F95" s="42" cm="1">
        <f t="array" aca="1" ref="F95" ca="1">_xll.VoseOutput("Month 82","deaths","Deaths with the cure",82)+_xll.VoseBinomial(E95,1-Prevented*D95)</f>
        <v>128</v>
      </c>
      <c r="G95" s="43">
        <f t="shared" ca="1" si="8"/>
        <v>59</v>
      </c>
      <c r="H95" s="28"/>
      <c r="I95" s="28"/>
    </row>
    <row r="96" spans="2:9" x14ac:dyDescent="0.45">
      <c r="B96" s="38">
        <v>83</v>
      </c>
      <c r="C96" s="39">
        <f t="shared" si="6"/>
        <v>195.9</v>
      </c>
      <c r="D96" s="40">
        <f t="shared" ca="1" si="7"/>
        <v>1</v>
      </c>
      <c r="E96" s="41" cm="1">
        <f t="array" aca="1" ref="E96" ca="1">_xll.VosePoisson(C96)</f>
        <v>181</v>
      </c>
      <c r="F96" s="42" cm="1">
        <f t="array" aca="1" ref="F96" ca="1">_xll.VoseOutput("Month 83","deaths","Deaths with the cure",83)+_xll.VoseBinomial(E96,1-Prevented*D96)</f>
        <v>127</v>
      </c>
      <c r="G96" s="43">
        <f t="shared" ca="1" si="8"/>
        <v>54</v>
      </c>
      <c r="H96" s="28"/>
      <c r="I96" s="28"/>
    </row>
    <row r="97" spans="2:9" x14ac:dyDescent="0.45">
      <c r="B97" s="38">
        <v>84</v>
      </c>
      <c r="C97" s="39">
        <f t="shared" si="6"/>
        <v>197.2</v>
      </c>
      <c r="D97" s="40">
        <f t="shared" ca="1" si="7"/>
        <v>1</v>
      </c>
      <c r="E97" s="41" cm="1">
        <f t="array" aca="1" ref="E97" ca="1">_xll.VosePoisson(C97)</f>
        <v>206</v>
      </c>
      <c r="F97" s="42" cm="1">
        <f t="array" aca="1" ref="F97" ca="1">_xll.VoseOutput("Month 84","deaths","Deaths with the cure",84)+_xll.VoseBinomial(E97,1-Prevented*D97)</f>
        <v>147</v>
      </c>
      <c r="G97" s="43">
        <f t="shared" ca="1" si="8"/>
        <v>59</v>
      </c>
      <c r="H97" s="28"/>
      <c r="I97" s="28"/>
    </row>
    <row r="98" spans="2:9" x14ac:dyDescent="0.45">
      <c r="B98" s="38">
        <v>85</v>
      </c>
      <c r="C98" s="39">
        <f t="shared" si="6"/>
        <v>198.5</v>
      </c>
      <c r="D98" s="40">
        <f t="shared" ca="1" si="7"/>
        <v>1</v>
      </c>
      <c r="E98" s="41" cm="1">
        <f t="array" aca="1" ref="E98" ca="1">_xll.VosePoisson(C98)</f>
        <v>218</v>
      </c>
      <c r="F98" s="42" cm="1">
        <f t="array" aca="1" ref="F98" ca="1">_xll.VoseOutput("Month 85","deaths","Deaths with the cure",85)+_xll.VoseBinomial(E98,1-Prevented*D98)</f>
        <v>156</v>
      </c>
      <c r="G98" s="43">
        <f t="shared" ca="1" si="8"/>
        <v>62</v>
      </c>
      <c r="H98" s="28"/>
      <c r="I98" s="28"/>
    </row>
    <row r="99" spans="2:9" x14ac:dyDescent="0.45">
      <c r="B99" s="38">
        <v>86</v>
      </c>
      <c r="C99" s="39">
        <f t="shared" si="6"/>
        <v>199.8</v>
      </c>
      <c r="D99" s="40">
        <f t="shared" ca="1" si="7"/>
        <v>1</v>
      </c>
      <c r="E99" s="41" cm="1">
        <f t="array" aca="1" ref="E99" ca="1">_xll.VosePoisson(C99)</f>
        <v>199</v>
      </c>
      <c r="F99" s="42" cm="1">
        <f t="array" aca="1" ref="F99" ca="1">_xll.VoseOutput("Month 86","deaths","Deaths with the cure",86)+_xll.VoseBinomial(E99,1-Prevented*D99)</f>
        <v>137</v>
      </c>
      <c r="G99" s="43">
        <f t="shared" ca="1" si="8"/>
        <v>62</v>
      </c>
      <c r="H99" s="28"/>
      <c r="I99" s="28"/>
    </row>
    <row r="100" spans="2:9" x14ac:dyDescent="0.45">
      <c r="B100" s="38">
        <v>87</v>
      </c>
      <c r="C100" s="39">
        <f t="shared" si="6"/>
        <v>201.10000000000002</v>
      </c>
      <c r="D100" s="40">
        <f t="shared" ca="1" si="7"/>
        <v>1</v>
      </c>
      <c r="E100" s="41" cm="1">
        <f t="array" aca="1" ref="E100" ca="1">_xll.VosePoisson(C100)</f>
        <v>195</v>
      </c>
      <c r="F100" s="42" cm="1">
        <f t="array" aca="1" ref="F100" ca="1">_xll.VoseOutput("Month 87","deaths","Deaths with the cure",87)+_xll.VoseBinomial(E100,1-Prevented*D100)</f>
        <v>138</v>
      </c>
      <c r="G100" s="43">
        <f t="shared" ca="1" si="8"/>
        <v>57</v>
      </c>
      <c r="H100" s="28"/>
      <c r="I100" s="28"/>
    </row>
    <row r="101" spans="2:9" x14ac:dyDescent="0.45">
      <c r="B101" s="38">
        <v>88</v>
      </c>
      <c r="C101" s="39">
        <f t="shared" si="6"/>
        <v>202.4</v>
      </c>
      <c r="D101" s="40">
        <f t="shared" ca="1" si="7"/>
        <v>1</v>
      </c>
      <c r="E101" s="41" cm="1">
        <f t="array" aca="1" ref="E101" ca="1">_xll.VosePoisson(C101)</f>
        <v>204</v>
      </c>
      <c r="F101" s="42" cm="1">
        <f t="array" aca="1" ref="F101" ca="1">_xll.VoseOutput("Month 88","deaths","Deaths with the cure",88)+_xll.VoseBinomial(E101,1-Prevented*D101)</f>
        <v>145</v>
      </c>
      <c r="G101" s="43">
        <f t="shared" ca="1" si="8"/>
        <v>59</v>
      </c>
      <c r="H101" s="28"/>
      <c r="I101" s="28"/>
    </row>
    <row r="102" spans="2:9" x14ac:dyDescent="0.45">
      <c r="B102" s="38">
        <v>89</v>
      </c>
      <c r="C102" s="39">
        <f t="shared" si="6"/>
        <v>203.7</v>
      </c>
      <c r="D102" s="40">
        <f t="shared" ca="1" si="7"/>
        <v>1</v>
      </c>
      <c r="E102" s="41" cm="1">
        <f t="array" aca="1" ref="E102" ca="1">_xll.VosePoisson(C102)</f>
        <v>188</v>
      </c>
      <c r="F102" s="42" cm="1">
        <f t="array" aca="1" ref="F102" ca="1">_xll.VoseOutput("Month 89","deaths","Deaths with the cure",89)+_xll.VoseBinomial(E102,1-Prevented*D102)</f>
        <v>141</v>
      </c>
      <c r="G102" s="43">
        <f t="shared" ca="1" si="8"/>
        <v>47</v>
      </c>
      <c r="H102" s="28"/>
      <c r="I102" s="28"/>
    </row>
    <row r="103" spans="2:9" x14ac:dyDescent="0.45">
      <c r="B103" s="38">
        <v>90</v>
      </c>
      <c r="C103" s="39">
        <f t="shared" si="6"/>
        <v>205</v>
      </c>
      <c r="D103" s="40">
        <f t="shared" ca="1" si="7"/>
        <v>1</v>
      </c>
      <c r="E103" s="41" cm="1">
        <f t="array" aca="1" ref="E103" ca="1">_xll.VosePoisson(C103)</f>
        <v>199</v>
      </c>
      <c r="F103" s="42" cm="1">
        <f t="array" aca="1" ref="F103" ca="1">_xll.VoseOutput("Month 90","deaths","Deaths with the cure",90)+_xll.VoseBinomial(E103,1-Prevented*D103)</f>
        <v>143</v>
      </c>
      <c r="G103" s="43">
        <f t="shared" ca="1" si="8"/>
        <v>56</v>
      </c>
      <c r="H103" s="28"/>
      <c r="I103" s="28"/>
    </row>
    <row r="104" spans="2:9" x14ac:dyDescent="0.45">
      <c r="B104" s="38">
        <v>91</v>
      </c>
      <c r="C104" s="39">
        <f t="shared" si="6"/>
        <v>206.3</v>
      </c>
      <c r="D104" s="40">
        <f t="shared" ca="1" si="7"/>
        <v>1</v>
      </c>
      <c r="E104" s="41" cm="1">
        <f t="array" aca="1" ref="E104" ca="1">_xll.VosePoisson(C104)</f>
        <v>219</v>
      </c>
      <c r="F104" s="42" cm="1">
        <f t="array" aca="1" ref="F104" ca="1">_xll.VoseOutput("Month 91","deaths","Deaths with the cure",91)+_xll.VoseBinomial(E104,1-Prevented*D104)</f>
        <v>149</v>
      </c>
      <c r="G104" s="43">
        <f t="shared" ca="1" si="8"/>
        <v>70</v>
      </c>
      <c r="H104" s="28"/>
      <c r="I104" s="28"/>
    </row>
    <row r="105" spans="2:9" x14ac:dyDescent="0.45">
      <c r="B105" s="38">
        <v>92</v>
      </c>
      <c r="C105" s="39">
        <f t="shared" si="6"/>
        <v>207.60000000000002</v>
      </c>
      <c r="D105" s="40">
        <f t="shared" ca="1" si="7"/>
        <v>1</v>
      </c>
      <c r="E105" s="41" cm="1">
        <f t="array" aca="1" ref="E105" ca="1">_xll.VosePoisson(C105)</f>
        <v>198</v>
      </c>
      <c r="F105" s="42" cm="1">
        <f t="array" aca="1" ref="F105" ca="1">_xll.VoseOutput("Month 92","deaths","Deaths with the cure",92)+_xll.VoseBinomial(E105,1-Prevented*D105)</f>
        <v>141</v>
      </c>
      <c r="G105" s="43">
        <f t="shared" ca="1" si="8"/>
        <v>57</v>
      </c>
      <c r="H105" s="28"/>
      <c r="I105" s="28"/>
    </row>
    <row r="106" spans="2:9" x14ac:dyDescent="0.45">
      <c r="B106" s="38">
        <v>93</v>
      </c>
      <c r="C106" s="39">
        <f t="shared" si="6"/>
        <v>208.9</v>
      </c>
      <c r="D106" s="40">
        <f t="shared" ca="1" si="7"/>
        <v>1</v>
      </c>
      <c r="E106" s="41" cm="1">
        <f t="array" aca="1" ref="E106" ca="1">_xll.VosePoisson(C106)</f>
        <v>231</v>
      </c>
      <c r="F106" s="42" cm="1">
        <f t="array" aca="1" ref="F106" ca="1">_xll.VoseOutput("Month 93","deaths","Deaths with the cure",93)+_xll.VoseBinomial(E106,1-Prevented*D106)</f>
        <v>163</v>
      </c>
      <c r="G106" s="43">
        <f t="shared" ca="1" si="8"/>
        <v>68</v>
      </c>
      <c r="H106" s="28"/>
      <c r="I106" s="28"/>
    </row>
    <row r="107" spans="2:9" x14ac:dyDescent="0.45">
      <c r="B107" s="38">
        <v>94</v>
      </c>
      <c r="C107" s="39">
        <f t="shared" si="6"/>
        <v>210.2</v>
      </c>
      <c r="D107" s="40">
        <f t="shared" ca="1" si="7"/>
        <v>1</v>
      </c>
      <c r="E107" s="41" cm="1">
        <f t="array" aca="1" ref="E107" ca="1">_xll.VosePoisson(C107)</f>
        <v>227</v>
      </c>
      <c r="F107" s="42" cm="1">
        <f t="array" aca="1" ref="F107" ca="1">_xll.VoseOutput("Month 94","deaths","Deaths with the cure",94)+_xll.VoseBinomial(E107,1-Prevented*D107)</f>
        <v>156</v>
      </c>
      <c r="G107" s="43">
        <f t="shared" ca="1" si="8"/>
        <v>71</v>
      </c>
      <c r="H107" s="28"/>
      <c r="I107" s="28"/>
    </row>
    <row r="108" spans="2:9" x14ac:dyDescent="0.45">
      <c r="B108" s="38">
        <v>95</v>
      </c>
      <c r="C108" s="39">
        <f t="shared" si="6"/>
        <v>211.5</v>
      </c>
      <c r="D108" s="40">
        <f t="shared" ca="1" si="7"/>
        <v>1</v>
      </c>
      <c r="E108" s="41" cm="1">
        <f t="array" aca="1" ref="E108" ca="1">_xll.VosePoisson(C108)</f>
        <v>198</v>
      </c>
      <c r="F108" s="42" cm="1">
        <f t="array" aca="1" ref="F108" ca="1">_xll.VoseOutput("Month 95","deaths","Deaths with the cure",95)+_xll.VoseBinomial(E108,1-Prevented*D108)</f>
        <v>135</v>
      </c>
      <c r="G108" s="43">
        <f t="shared" ca="1" si="8"/>
        <v>63</v>
      </c>
      <c r="H108" s="28"/>
      <c r="I108" s="28"/>
    </row>
    <row r="109" spans="2:9" x14ac:dyDescent="0.45">
      <c r="B109" s="38">
        <v>96</v>
      </c>
      <c r="C109" s="39">
        <f t="shared" si="6"/>
        <v>212.8</v>
      </c>
      <c r="D109" s="40">
        <f t="shared" ca="1" si="7"/>
        <v>1</v>
      </c>
      <c r="E109" s="41" cm="1">
        <f t="array" aca="1" ref="E109" ca="1">_xll.VosePoisson(C109)</f>
        <v>228</v>
      </c>
      <c r="F109" s="42" cm="1">
        <f t="array" aca="1" ref="F109" ca="1">_xll.VoseOutput("Month 96","deaths","Deaths with the cure",96)+_xll.VoseBinomial(E109,1-Prevented*D109)</f>
        <v>156</v>
      </c>
      <c r="G109" s="43">
        <f t="shared" ca="1" si="8"/>
        <v>72</v>
      </c>
      <c r="H109" s="28"/>
      <c r="I109" s="28"/>
    </row>
    <row r="110" spans="2:9" x14ac:dyDescent="0.45">
      <c r="B110" s="38">
        <v>97</v>
      </c>
      <c r="C110" s="39">
        <f t="shared" ref="C110:C141" si="9">Rate0+Increase*B110</f>
        <v>214.10000000000002</v>
      </c>
      <c r="D110" s="40">
        <f t="shared" ca="1" si="7"/>
        <v>1</v>
      </c>
      <c r="E110" s="41" cm="1">
        <f t="array" aca="1" ref="E110" ca="1">_xll.VosePoisson(C110)</f>
        <v>219</v>
      </c>
      <c r="F110" s="42" cm="1">
        <f t="array" aca="1" ref="F110" ca="1">_xll.VoseOutput("Month 97","deaths","Deaths with the cure",97)+_xll.VoseBinomial(E110,1-Prevented*D110)</f>
        <v>152</v>
      </c>
      <c r="G110" s="43">
        <f t="shared" ref="G110:G141" ca="1" si="10">E110-F110</f>
        <v>67</v>
      </c>
      <c r="H110" s="28"/>
      <c r="I110" s="28"/>
    </row>
    <row r="111" spans="2:9" x14ac:dyDescent="0.45">
      <c r="B111" s="38">
        <v>98</v>
      </c>
      <c r="C111" s="39">
        <f t="shared" si="9"/>
        <v>215.4</v>
      </c>
      <c r="D111" s="40">
        <f t="shared" ca="1" si="7"/>
        <v>1</v>
      </c>
      <c r="E111" s="41" cm="1">
        <f t="array" aca="1" ref="E111" ca="1">_xll.VosePoisson(C111)</f>
        <v>201</v>
      </c>
      <c r="F111" s="42" cm="1">
        <f t="array" aca="1" ref="F111" ca="1">_xll.VoseOutput("Month 98","deaths","Deaths with the cure",98)+_xll.VoseBinomial(E111,1-Prevented*D111)</f>
        <v>137</v>
      </c>
      <c r="G111" s="43">
        <f t="shared" ca="1" si="10"/>
        <v>64</v>
      </c>
      <c r="H111" s="28"/>
      <c r="I111" s="28"/>
    </row>
    <row r="112" spans="2:9" x14ac:dyDescent="0.45">
      <c r="B112" s="38">
        <v>99</v>
      </c>
      <c r="C112" s="39">
        <f t="shared" si="9"/>
        <v>216.70000000000002</v>
      </c>
      <c r="D112" s="40">
        <f t="shared" ca="1" si="7"/>
        <v>1</v>
      </c>
      <c r="E112" s="41" cm="1">
        <f t="array" aca="1" ref="E112" ca="1">_xll.VosePoisson(C112)</f>
        <v>204</v>
      </c>
      <c r="F112" s="42" cm="1">
        <f t="array" aca="1" ref="F112" ca="1">_xll.VoseOutput("Month 99","deaths","Deaths with the cure",99)+_xll.VoseBinomial(E112,1-Prevented*D112)</f>
        <v>142</v>
      </c>
      <c r="G112" s="43">
        <f t="shared" ca="1" si="10"/>
        <v>62</v>
      </c>
      <c r="H112" s="28"/>
      <c r="I112" s="28"/>
    </row>
    <row r="113" spans="2:9" x14ac:dyDescent="0.45">
      <c r="B113" s="38">
        <v>100</v>
      </c>
      <c r="C113" s="39">
        <f t="shared" si="9"/>
        <v>218</v>
      </c>
      <c r="D113" s="40">
        <f t="shared" ca="1" si="7"/>
        <v>1</v>
      </c>
      <c r="E113" s="41" cm="1">
        <f t="array" aca="1" ref="E113" ca="1">_xll.VosePoisson(C113)</f>
        <v>211</v>
      </c>
      <c r="F113" s="42" cm="1">
        <f t="array" aca="1" ref="F113" ca="1">_xll.VoseOutput("Month 100","deaths","Deaths with the cure",100)+_xll.VoseBinomial(E113,1-Prevented*D113)</f>
        <v>144</v>
      </c>
      <c r="G113" s="43">
        <f t="shared" ca="1" si="10"/>
        <v>67</v>
      </c>
      <c r="H113" s="28"/>
      <c r="I113" s="28"/>
    </row>
    <row r="114" spans="2:9" x14ac:dyDescent="0.45">
      <c r="B114" s="44" t="s">
        <v>126</v>
      </c>
      <c r="C114" s="45">
        <f>SUM(C14:C113)</f>
        <v>15365</v>
      </c>
      <c r="D114" s="46"/>
      <c r="E114" s="45">
        <f ca="1">SUM(E14:E113)</f>
        <v>15409</v>
      </c>
      <c r="F114" s="45">
        <f ca="1">SUM(F14:F113)</f>
        <v>12192</v>
      </c>
      <c r="G114" s="45">
        <f ca="1">SUM(G14:G113)</f>
        <v>3217</v>
      </c>
      <c r="H114" s="46"/>
      <c r="I114" s="46"/>
    </row>
    <row r="115" spans="2:9" ht="8" customHeight="1" x14ac:dyDescent="0.45"/>
    <row r="116" spans="2:9" ht="22.05" customHeight="1" x14ac:dyDescent="0.5">
      <c r="B116" s="7" t="s">
        <v>127</v>
      </c>
      <c r="C116" s="8"/>
      <c r="D116" s="8"/>
      <c r="E116" s="8"/>
      <c r="F116" s="8"/>
      <c r="G116" s="8"/>
      <c r="H116" s="8"/>
      <c r="I116" s="8"/>
    </row>
    <row r="117" spans="2:9" ht="18" customHeight="1" x14ac:dyDescent="0.45">
      <c r="B117" s="13" t="s">
        <v>128</v>
      </c>
    </row>
    <row r="118" spans="2:9" ht="18" customHeight="1" x14ac:dyDescent="0.45">
      <c r="B118" s="47" t="s">
        <v>129</v>
      </c>
      <c r="C118" s="5"/>
      <c r="D118" s="5"/>
      <c r="E118" s="47" t="s">
        <v>90</v>
      </c>
      <c r="F118" s="48" t="s">
        <v>130</v>
      </c>
      <c r="G118" s="5"/>
      <c r="H118" s="5"/>
      <c r="I118" s="47" t="s">
        <v>131</v>
      </c>
    </row>
    <row r="119" spans="2:9" x14ac:dyDescent="0.45">
      <c r="B119" s="25" t="s">
        <v>132</v>
      </c>
      <c r="C119" s="28"/>
      <c r="D119" s="28"/>
      <c r="E119" s="26" t="s">
        <v>95</v>
      </c>
      <c r="F119" s="42" cm="1">
        <f t="array" aca="1" ref="F119" ca="1">_xll.VoseOutput("Deaths without the cure","deaths")+E114</f>
        <v>15409</v>
      </c>
      <c r="G119" s="28"/>
      <c r="H119" s="28"/>
      <c r="I119" s="26"/>
    </row>
    <row r="120" spans="2:9" x14ac:dyDescent="0.45">
      <c r="B120" s="25" t="s">
        <v>133</v>
      </c>
      <c r="C120" s="28"/>
      <c r="D120" s="28"/>
      <c r="E120" s="26" t="s">
        <v>95</v>
      </c>
      <c r="F120" s="42" cm="1">
        <f t="array" aca="1" ref="F120" ca="1">_xll.VoseOutput("Deaths with the cure, total","deaths")+F114</f>
        <v>12192</v>
      </c>
      <c r="G120" s="28"/>
      <c r="H120" s="28"/>
      <c r="I120" s="26"/>
    </row>
    <row r="121" spans="2:9" x14ac:dyDescent="0.45">
      <c r="B121" s="25" t="s">
        <v>134</v>
      </c>
      <c r="C121" s="28"/>
      <c r="D121" s="28"/>
      <c r="E121" s="26" t="s">
        <v>95</v>
      </c>
      <c r="F121" s="42" cm="1">
        <f t="array" aca="1" ref="F121" ca="1">_xll.VoseOutput("Lives saved","deaths")+G114</f>
        <v>3217</v>
      </c>
      <c r="G121" s="28"/>
      <c r="H121" s="28"/>
      <c r="I121" s="26"/>
    </row>
    <row r="122" spans="2:9" x14ac:dyDescent="0.45">
      <c r="B122" s="25" t="s">
        <v>135</v>
      </c>
      <c r="C122" s="28"/>
      <c r="D122" s="28"/>
      <c r="E122" s="26" t="s">
        <v>95</v>
      </c>
      <c r="F122" s="43">
        <f>SUM(ExpDeaths)</f>
        <v>15365</v>
      </c>
      <c r="G122" s="28"/>
      <c r="H122" s="28"/>
      <c r="I122" s="26" t="s">
        <v>136</v>
      </c>
    </row>
    <row r="123" spans="2:9" x14ac:dyDescent="0.45">
      <c r="B123" s="25" t="s">
        <v>137</v>
      </c>
      <c r="C123" s="28"/>
      <c r="D123" s="28"/>
      <c r="E123" s="26" t="s">
        <v>95</v>
      </c>
      <c r="F123" s="39">
        <f>Prevented*(Rate0+Increase*(Earliest+Latest)/2)</f>
        <v>40.049999999999997</v>
      </c>
      <c r="G123" s="28"/>
      <c r="H123" s="28"/>
      <c r="I123" s="26" t="s">
        <v>138</v>
      </c>
    </row>
    <row r="124" spans="2:9" ht="8" customHeight="1" x14ac:dyDescent="0.45"/>
    <row r="125" spans="2:9" ht="22.05" customHeight="1" x14ac:dyDescent="0.5">
      <c r="B125" s="7" t="s">
        <v>139</v>
      </c>
      <c r="C125" s="8"/>
      <c r="D125" s="8"/>
      <c r="E125" s="8"/>
      <c r="F125" s="8"/>
      <c r="G125" s="8"/>
      <c r="H125" s="8"/>
      <c r="I125" s="8"/>
    </row>
    <row r="126" spans="2:9" ht="18" customHeight="1" x14ac:dyDescent="0.45">
      <c r="B126" s="13" t="s">
        <v>140</v>
      </c>
    </row>
    <row r="127" spans="2:9" x14ac:dyDescent="0.45">
      <c r="B127" s="25" t="s">
        <v>141</v>
      </c>
      <c r="C127" s="28"/>
      <c r="D127" s="28"/>
      <c r="E127" s="28"/>
      <c r="F127" s="49" t="str">
        <f>IF(AND(Earliest&gt;=1,Earliest&lt;=Latest,Latest&lt;=100),"OK","CHECK")</f>
        <v>OK</v>
      </c>
      <c r="G127" s="28"/>
      <c r="H127" s="28"/>
      <c r="I127" s="28"/>
    </row>
    <row r="128" spans="2:9" x14ac:dyDescent="0.45">
      <c r="B128" s="25" t="s">
        <v>142</v>
      </c>
      <c r="C128" s="28"/>
      <c r="D128" s="28"/>
      <c r="E128" s="28"/>
      <c r="F128" s="49" t="str">
        <f>IF(MIN(ExpDeaths)&gt;=0,"OK","CHECK")</f>
        <v>OK</v>
      </c>
      <c r="G128" s="28"/>
      <c r="H128" s="28"/>
      <c r="I128" s="28"/>
    </row>
    <row r="129" ht="14" customHeight="1" x14ac:dyDescent="0.45"/>
  </sheetData>
  <conditionalFormatting sqref="F127:F128">
    <cfRule type="expression" dxfId="4" priority="1">
      <formula>F127="CHECK"</formula>
    </cfRule>
  </conditionalFormatting>
  <hyperlinks>
    <hyperlink ref="B4" location="'Inputs'!A1" display="◂  Inputs" xr:uid="{00000000-0004-0000-0200-000000000000}"/>
    <hyperlink ref="I4" location="'Results'!A1" display="Next:  Results  ▸" xr:uid="{00000000-0004-0000-0200-000001000000}"/>
  </hyperlinks>
  <printOptions horizontalCentered="1"/>
  <pageMargins left="0.4" right="0.4" top="0.5" bottom="0.6" header="0.25" footer="0.25"/>
  <pageSetup paperSize="9" scale="97"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5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143</v>
      </c>
      <c r="C3" s="1"/>
      <c r="D3" s="1"/>
      <c r="E3" s="1"/>
      <c r="F3" s="1"/>
      <c r="G3" s="1"/>
      <c r="H3" s="1"/>
      <c r="I3" s="1"/>
      <c r="J3" s="1"/>
      <c r="K3" s="1"/>
      <c r="L3" s="1"/>
      <c r="M3" s="1"/>
      <c r="N3" s="1"/>
      <c r="O3" s="1"/>
      <c r="P3" s="1"/>
      <c r="Q3" s="1"/>
      <c r="R3" s="1"/>
    </row>
    <row r="4" spans="1:18" ht="20" customHeight="1" x14ac:dyDescent="0.45">
      <c r="A4" s="5"/>
      <c r="B4" s="22" t="s">
        <v>144</v>
      </c>
      <c r="C4" s="5"/>
      <c r="D4" s="5"/>
      <c r="E4" s="5"/>
      <c r="F4" s="5"/>
      <c r="G4" s="5"/>
      <c r="H4" s="5"/>
      <c r="I4" s="5"/>
      <c r="J4" s="5"/>
      <c r="K4" s="5"/>
      <c r="L4" s="5"/>
      <c r="M4" s="5"/>
      <c r="N4" s="5"/>
      <c r="O4" s="5"/>
      <c r="P4" s="5"/>
      <c r="Q4" s="5"/>
      <c r="R4" s="5"/>
    </row>
    <row r="5" spans="1:18" ht="8" customHeight="1" x14ac:dyDescent="0.45"/>
    <row r="6" spans="1:18" ht="26" customHeight="1" x14ac:dyDescent="0.45">
      <c r="B6" s="50" t="str" cm="1">
        <f t="array" aca="1" ref="B6" ca="1">IF(ISNUMBER(_xll.VoseSimMean(Saved)),"✔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1"/>
      <c r="D6" s="51"/>
      <c r="E6" s="51"/>
      <c r="F6" s="51"/>
      <c r="G6" s="51"/>
    </row>
    <row r="7" spans="1:18" x14ac:dyDescent="0.45">
      <c r="B7" s="5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145</v>
      </c>
      <c r="C9" s="8"/>
      <c r="D9" s="8"/>
      <c r="E9" s="8"/>
      <c r="F9" s="8"/>
      <c r="G9" s="8"/>
      <c r="I9" s="53" t="s">
        <v>146</v>
      </c>
      <c r="J9" s="8"/>
      <c r="K9" s="8"/>
      <c r="L9" s="8"/>
      <c r="M9" s="8"/>
      <c r="N9" s="8"/>
      <c r="O9" s="8"/>
      <c r="P9" s="8"/>
      <c r="Q9" s="8"/>
      <c r="R9" s="8"/>
    </row>
    <row r="10" spans="1:18" ht="18" customHeight="1" x14ac:dyDescent="0.45">
      <c r="B10" s="13" t="s">
        <v>147</v>
      </c>
    </row>
    <row r="11" spans="1:18" ht="18" customHeight="1" x14ac:dyDescent="0.45">
      <c r="B11" s="23" t="s">
        <v>148</v>
      </c>
      <c r="C11" s="23" t="s">
        <v>90</v>
      </c>
      <c r="D11" s="24" t="s">
        <v>130</v>
      </c>
      <c r="E11" s="5"/>
      <c r="F11" s="5"/>
      <c r="G11" s="5"/>
    </row>
    <row r="12" spans="1:18" x14ac:dyDescent="0.45">
      <c r="B12" s="54" t="s">
        <v>135</v>
      </c>
      <c r="C12" s="26" t="s">
        <v>95</v>
      </c>
      <c r="D12" s="43">
        <f>ExpWithout</f>
        <v>15365</v>
      </c>
      <c r="E12" s="28"/>
      <c r="F12" s="28"/>
      <c r="G12" s="28"/>
    </row>
    <row r="13" spans="1:18" x14ac:dyDescent="0.45">
      <c r="B13" s="25" t="s">
        <v>149</v>
      </c>
      <c r="C13" s="26" t="s">
        <v>95</v>
      </c>
      <c r="D13" s="55" cm="1">
        <f t="array" aca="1" ref="D13" ca="1">_xll.VoseSimMean(TotWith)</f>
        <v>11901.1777</v>
      </c>
      <c r="E13" s="28"/>
      <c r="F13" s="28"/>
      <c r="G13" s="28"/>
    </row>
    <row r="14" spans="1:18" ht="22.05" customHeight="1" x14ac:dyDescent="0.45">
      <c r="B14" s="38" t="s">
        <v>150</v>
      </c>
      <c r="C14" s="26" t="s">
        <v>95</v>
      </c>
      <c r="D14" s="56" cm="1">
        <f t="array" aca="1" ref="D14" ca="1">_xll.VoseSimMean(Saved)</f>
        <v>3463.6053999999999</v>
      </c>
      <c r="E14" s="28"/>
      <c r="F14" s="28"/>
      <c r="G14" s="28"/>
    </row>
    <row r="15" spans="1:18" x14ac:dyDescent="0.45">
      <c r="B15" s="57" t="s">
        <v>151</v>
      </c>
      <c r="C15" s="26" t="s">
        <v>95</v>
      </c>
      <c r="D15" s="39">
        <f>SavedPerMonth</f>
        <v>40.049999999999997</v>
      </c>
      <c r="E15" s="28"/>
      <c r="F15" s="28"/>
      <c r="G15" s="28"/>
    </row>
    <row r="16" spans="1:18" ht="18" customHeight="1" x14ac:dyDescent="0.45">
      <c r="B16" s="23" t="s">
        <v>148</v>
      </c>
      <c r="C16" s="23" t="s">
        <v>90</v>
      </c>
      <c r="D16" s="24" t="s">
        <v>152</v>
      </c>
      <c r="E16" s="24" t="s">
        <v>153</v>
      </c>
      <c r="F16" s="24" t="s">
        <v>154</v>
      </c>
      <c r="G16" s="24" t="s">
        <v>155</v>
      </c>
    </row>
    <row r="17" spans="2:18" x14ac:dyDescent="0.45">
      <c r="B17" s="25" t="s">
        <v>117</v>
      </c>
      <c r="C17" s="26" t="s">
        <v>95</v>
      </c>
      <c r="D17" s="55" cm="1">
        <f t="array" aca="1" ref="D17" ca="1">_xll.VoseSimPercentile(Saved,0.1)</f>
        <v>2954</v>
      </c>
      <c r="E17" s="55" cm="1">
        <f t="array" aca="1" ref="E17" ca="1">_xll.VoseSimPercentile(Saved,0.5)</f>
        <v>3475</v>
      </c>
      <c r="F17" s="55" cm="1">
        <f t="array" aca="1" ref="F17" ca="1">_xll.VoseSimPercentile(Saved,0.9)</f>
        <v>3943</v>
      </c>
      <c r="G17" s="55" cm="1">
        <f t="array" aca="1" ref="G17" ca="1">_xll.VoseSimMean(Saved)</f>
        <v>3463.6053999999999</v>
      </c>
    </row>
    <row r="18" spans="2:18" x14ac:dyDescent="0.45">
      <c r="B18" s="25" t="s">
        <v>116</v>
      </c>
      <c r="C18" s="26" t="s">
        <v>95</v>
      </c>
      <c r="D18" s="55" cm="1">
        <f t="array" aca="1" ref="D18" ca="1">_xll.VoseSimPercentile(TotWith,0.1)</f>
        <v>11408</v>
      </c>
      <c r="E18" s="55" cm="1">
        <f t="array" aca="1" ref="E18" ca="1">_xll.VoseSimPercentile(TotWith,0.5)</f>
        <v>11884</v>
      </c>
      <c r="F18" s="55" cm="1">
        <f t="array" aca="1" ref="F18" ca="1">_xll.VoseSimPercentile(TotWith,0.9)</f>
        <v>12420</v>
      </c>
      <c r="G18" s="55" cm="1">
        <f t="array" aca="1" ref="G18" ca="1">_xll.VoseSimMean(TotWith)</f>
        <v>11901.1777</v>
      </c>
    </row>
    <row r="19" spans="2:18" x14ac:dyDescent="0.45">
      <c r="B19" s="25" t="s">
        <v>115</v>
      </c>
      <c r="C19" s="26" t="s">
        <v>95</v>
      </c>
      <c r="D19" s="55" cm="1">
        <f t="array" aca="1" ref="D19" ca="1">_xll.VoseSimPercentile(TotWithout,0.1)</f>
        <v>15205</v>
      </c>
      <c r="E19" s="55" cm="1">
        <f t="array" aca="1" ref="E19" ca="1">_xll.VoseSimPercentile(TotWithout,0.5)</f>
        <v>15366</v>
      </c>
      <c r="F19" s="55" cm="1">
        <f t="array" aca="1" ref="F19" ca="1">_xll.VoseSimPercentile(TotWithout,0.9)</f>
        <v>15521</v>
      </c>
      <c r="G19" s="55" cm="1">
        <f t="array" aca="1" ref="G19" ca="1">_xll.VoseSimMean(TotWithout)</f>
        <v>15364.783100000001</v>
      </c>
    </row>
    <row r="20" spans="2:18" ht="18" customHeight="1" x14ac:dyDescent="0.45">
      <c r="B20" s="23" t="s">
        <v>148</v>
      </c>
      <c r="C20" s="23" t="s">
        <v>90</v>
      </c>
      <c r="D20" s="24" t="s">
        <v>130</v>
      </c>
      <c r="E20" s="5"/>
      <c r="F20" s="5"/>
      <c r="G20" s="5"/>
    </row>
    <row r="21" spans="2:18" x14ac:dyDescent="0.45">
      <c r="B21" s="25" t="s">
        <v>156</v>
      </c>
      <c r="C21" s="26" t="s">
        <v>95</v>
      </c>
      <c r="D21" s="55" cm="1">
        <f t="array" aca="1" ref="D21" ca="1">_xll.VoseSimStdev(TotWith)</f>
        <v>374.05797713687519</v>
      </c>
      <c r="E21" s="28"/>
      <c r="F21" s="28"/>
      <c r="G21" s="28"/>
    </row>
    <row r="22" spans="2:18" x14ac:dyDescent="0.45">
      <c r="B22" s="25" t="s">
        <v>157</v>
      </c>
      <c r="C22" s="26" t="s">
        <v>95</v>
      </c>
      <c r="D22" s="55" cm="1">
        <f t="array" aca="1" ref="D22" ca="1">_xll.VoseSimStdev(TotWithout)</f>
        <v>123.39320744153616</v>
      </c>
      <c r="E22" s="28"/>
      <c r="F22" s="28"/>
      <c r="G22" s="28"/>
    </row>
    <row r="23" spans="2:18" ht="8" customHeight="1" x14ac:dyDescent="0.45"/>
    <row r="25" spans="2:18" x14ac:dyDescent="0.45">
      <c r="I25" s="53" t="s">
        <v>158</v>
      </c>
      <c r="J25" s="8"/>
      <c r="K25" s="8"/>
      <c r="L25" s="8"/>
      <c r="M25" s="8"/>
      <c r="N25" s="8"/>
      <c r="O25" s="8"/>
      <c r="P25" s="8"/>
      <c r="Q25" s="8"/>
      <c r="R25" s="8"/>
    </row>
    <row r="41" spans="2:7" ht="22.05" customHeight="1" x14ac:dyDescent="0.5">
      <c r="B41" s="7" t="s">
        <v>159</v>
      </c>
      <c r="C41" s="8"/>
      <c r="D41" s="8"/>
      <c r="E41" s="8"/>
      <c r="F41" s="8"/>
      <c r="G41" s="8"/>
    </row>
    <row r="42" spans="2:7" ht="32" customHeight="1" x14ac:dyDescent="0.45">
      <c r="B42" s="62" t="s">
        <v>160</v>
      </c>
      <c r="C42" s="61"/>
      <c r="D42" s="61"/>
      <c r="E42" s="61"/>
      <c r="F42" s="61"/>
      <c r="G42" s="61"/>
    </row>
    <row r="43" spans="2:7" ht="32" customHeight="1" x14ac:dyDescent="0.45">
      <c r="B43" s="62" t="s">
        <v>161</v>
      </c>
      <c r="C43" s="61"/>
      <c r="D43" s="61"/>
      <c r="E43" s="61"/>
      <c r="F43" s="61"/>
      <c r="G43" s="61"/>
    </row>
    <row r="44" spans="2:7" ht="32" customHeight="1" x14ac:dyDescent="0.45">
      <c r="B44" s="62" t="s">
        <v>162</v>
      </c>
      <c r="C44" s="61"/>
      <c r="D44" s="61"/>
      <c r="E44" s="61"/>
      <c r="F44" s="61"/>
      <c r="G44" s="61"/>
    </row>
    <row r="45" spans="2:7" ht="32" customHeight="1" x14ac:dyDescent="0.45">
      <c r="B45" s="62" t="s">
        <v>163</v>
      </c>
      <c r="C45" s="61"/>
      <c r="D45" s="61"/>
      <c r="E45" s="61"/>
      <c r="F45" s="61"/>
      <c r="G45" s="61"/>
    </row>
    <row r="46" spans="2:7" ht="14" customHeight="1" x14ac:dyDescent="0.45"/>
    <row r="47" spans="2:7" ht="14" customHeight="1" x14ac:dyDescent="0.45"/>
    <row r="48" spans="2:7" ht="22.05" customHeight="1" x14ac:dyDescent="0.5">
      <c r="B48" s="7" t="s">
        <v>164</v>
      </c>
      <c r="C48" s="8"/>
      <c r="D48" s="8"/>
      <c r="E48" s="8"/>
      <c r="F48" s="8"/>
      <c r="G48" s="8"/>
    </row>
    <row r="49" spans="2:7" ht="18" customHeight="1" x14ac:dyDescent="0.45">
      <c r="B49" s="13" t="s">
        <v>165</v>
      </c>
    </row>
    <row r="50" spans="2:7" ht="28.05" hidden="1" customHeight="1" outlineLevel="1" x14ac:dyDescent="0.45">
      <c r="B50" s="23" t="s">
        <v>166</v>
      </c>
      <c r="C50" s="24" t="s">
        <v>167</v>
      </c>
      <c r="D50" s="24" t="s">
        <v>168</v>
      </c>
      <c r="E50" s="5"/>
      <c r="F50" s="5"/>
      <c r="G50" s="5"/>
    </row>
    <row r="51" spans="2:7" hidden="1" outlineLevel="1" x14ac:dyDescent="0.45">
      <c r="B51" s="58" t="s">
        <v>169</v>
      </c>
      <c r="C51" s="59" cm="1">
        <f t="array" aca="1" ref="C51" ca="1">IF(ISNUMBER(_xll.VoseSimMean(Without_1)),_xll.VoseSimMean(Without_1),NA())</f>
        <v>89.137556877843892</v>
      </c>
      <c r="D51" s="59" cm="1">
        <f t="array" aca="1" ref="D51" ca="1">IF(ISNUMBER(_xll.VoseSimMean(With_1)),_xll.VoseSimMean(With_1),NA())</f>
        <v>89.137556877843892</v>
      </c>
    </row>
    <row r="52" spans="2:7" hidden="1" outlineLevel="1" x14ac:dyDescent="0.45">
      <c r="B52" s="58" t="s">
        <v>170</v>
      </c>
      <c r="C52" s="59" cm="1">
        <f t="array" aca="1" ref="C52" ca="1">IF(ISNUMBER(_xll.VoseSimMean(Without_2)),_xll.VoseSimMean(Without_2),NA())</f>
        <v>90.647132356617831</v>
      </c>
      <c r="D52" s="59" cm="1">
        <f t="array" aca="1" ref="D52" ca="1">IF(ISNUMBER(_xll.VoseSimMean(With_2)),_xll.VoseSimMean(With_2),NA())</f>
        <v>90.647132356617831</v>
      </c>
    </row>
    <row r="53" spans="2:7" hidden="1" outlineLevel="1" x14ac:dyDescent="0.45">
      <c r="B53" s="58" t="s">
        <v>171</v>
      </c>
      <c r="C53" s="59" cm="1">
        <f t="array" aca="1" ref="C53" ca="1">IF(ISNUMBER(_xll.VoseSimMean(Without_3)),_xll.VoseSimMean(Without_3),NA())</f>
        <v>92.047002350117509</v>
      </c>
      <c r="D53" s="59" cm="1">
        <f t="array" aca="1" ref="D53" ca="1">IF(ISNUMBER(_xll.VoseSimMean(With_3)),_xll.VoseSimMean(With_3),NA())</f>
        <v>92.047002350117509</v>
      </c>
    </row>
    <row r="54" spans="2:7" hidden="1" outlineLevel="1" x14ac:dyDescent="0.45">
      <c r="B54" s="58" t="s">
        <v>172</v>
      </c>
      <c r="C54" s="59" cm="1">
        <f t="array" aca="1" ref="C54" ca="1">IF(ISNUMBER(_xll.VoseSimMean(Without_4)),_xll.VoseSimMean(Without_4),NA())</f>
        <v>93.095954797739893</v>
      </c>
      <c r="D54" s="59" cm="1">
        <f t="array" aca="1" ref="D54" ca="1">IF(ISNUMBER(_xll.VoseSimMean(With_4)),_xll.VoseSimMean(With_4),NA())</f>
        <v>93.095954797739893</v>
      </c>
    </row>
    <row r="55" spans="2:7" hidden="1" outlineLevel="1" x14ac:dyDescent="0.45">
      <c r="B55" s="58" t="s">
        <v>173</v>
      </c>
      <c r="C55" s="59" cm="1">
        <f t="array" aca="1" ref="C55" ca="1">IF(ISNUMBER(_xll.VoseSimMean(Without_5)),_xll.VoseSimMean(Without_5),NA())</f>
        <v>94.308615430771539</v>
      </c>
      <c r="D55" s="59" cm="1">
        <f t="array" aca="1" ref="D55" ca="1">IF(ISNUMBER(_xll.VoseSimMean(With_5)),_xll.VoseSimMean(With_5),NA())</f>
        <v>94.308615430771539</v>
      </c>
    </row>
    <row r="56" spans="2:7" hidden="1" outlineLevel="1" x14ac:dyDescent="0.45">
      <c r="B56" s="58" t="s">
        <v>174</v>
      </c>
      <c r="C56" s="59" cm="1">
        <f t="array" aca="1" ref="C56" ca="1">IF(ISNUMBER(_xll.VoseSimMean(Without_6)),_xll.VoseSimMean(Without_6),NA())</f>
        <v>95.74718735936797</v>
      </c>
      <c r="D56" s="59" cm="1">
        <f t="array" aca="1" ref="D56" ca="1">IF(ISNUMBER(_xll.VoseSimMean(With_6)),_xll.VoseSimMean(With_6),NA())</f>
        <v>95.74718735936797</v>
      </c>
    </row>
    <row r="57" spans="2:7" hidden="1" outlineLevel="1" x14ac:dyDescent="0.45">
      <c r="B57" s="58" t="s">
        <v>175</v>
      </c>
      <c r="C57" s="59" cm="1">
        <f t="array" aca="1" ref="C57" ca="1">IF(ISNUMBER(_xll.VoseSimMean(Without_7)),_xll.VoseSimMean(Without_7),NA())</f>
        <v>97.268513425671287</v>
      </c>
      <c r="D57" s="59" cm="1">
        <f t="array" aca="1" ref="D57" ca="1">IF(ISNUMBER(_xll.VoseSimMean(With_7)),_xll.VoseSimMean(With_7),NA())</f>
        <v>97.268513425671287</v>
      </c>
    </row>
    <row r="58" spans="2:7" hidden="1" outlineLevel="1" x14ac:dyDescent="0.45">
      <c r="B58" s="58" t="s">
        <v>176</v>
      </c>
      <c r="C58" s="59" cm="1">
        <f t="array" aca="1" ref="C58" ca="1">IF(ISNUMBER(_xll.VoseSimMean(Without_8)),_xll.VoseSimMean(Without_8),NA())</f>
        <v>98.498874943747182</v>
      </c>
      <c r="D58" s="59" cm="1">
        <f t="array" aca="1" ref="D58" ca="1">IF(ISNUMBER(_xll.VoseSimMean(With_8)),_xll.VoseSimMean(With_8),NA())</f>
        <v>98.498874943747182</v>
      </c>
    </row>
    <row r="59" spans="2:7" hidden="1" outlineLevel="1" x14ac:dyDescent="0.45">
      <c r="B59" s="58" t="s">
        <v>177</v>
      </c>
      <c r="C59" s="59" cm="1">
        <f t="array" aca="1" ref="C59" ca="1">IF(ISNUMBER(_xll.VoseSimMean(Without_9)),_xll.VoseSimMean(Without_9),NA())</f>
        <v>99.524226211310562</v>
      </c>
      <c r="D59" s="59" cm="1">
        <f t="array" aca="1" ref="D59" ca="1">IF(ISNUMBER(_xll.VoseSimMean(With_9)),_xll.VoseSimMean(With_9),NA())</f>
        <v>99.524226211310562</v>
      </c>
    </row>
    <row r="60" spans="2:7" hidden="1" outlineLevel="1" x14ac:dyDescent="0.45">
      <c r="B60" s="58" t="s">
        <v>178</v>
      </c>
      <c r="C60" s="59" cm="1">
        <f t="array" aca="1" ref="C60" ca="1">IF(ISNUMBER(_xll.VoseSimMean(Without_10)),_xll.VoseSimMean(Without_10),NA())</f>
        <v>101.15150757537877</v>
      </c>
      <c r="D60" s="59" cm="1">
        <f t="array" aca="1" ref="D60" ca="1">IF(ISNUMBER(_xll.VoseSimMean(With_10)),_xll.VoseSimMean(With_10),NA())</f>
        <v>101.15150757537877</v>
      </c>
    </row>
    <row r="61" spans="2:7" hidden="1" outlineLevel="1" x14ac:dyDescent="0.45">
      <c r="B61" s="58" t="s">
        <v>179</v>
      </c>
      <c r="C61" s="59" cm="1">
        <f t="array" aca="1" ref="C61" ca="1">IF(ISNUMBER(_xll.VoseSimMean(Without_11)),_xll.VoseSimMean(Without_11),NA())</f>
        <v>102.31621581079054</v>
      </c>
      <c r="D61" s="59" cm="1">
        <f t="array" aca="1" ref="D61" ca="1">IF(ISNUMBER(_xll.VoseSimMean(With_11)),_xll.VoseSimMean(With_11),NA())</f>
        <v>102.31621581079054</v>
      </c>
    </row>
    <row r="62" spans="2:7" hidden="1" outlineLevel="1" x14ac:dyDescent="0.45">
      <c r="B62" s="58" t="s">
        <v>180</v>
      </c>
      <c r="C62" s="59" cm="1">
        <f t="array" aca="1" ref="C62" ca="1">IF(ISNUMBER(_xll.VoseSimMean(Without_12)),_xll.VoseSimMean(Without_12),NA())</f>
        <v>103.47547377368869</v>
      </c>
      <c r="D62" s="59" cm="1">
        <f t="array" aca="1" ref="D62" ca="1">IF(ISNUMBER(_xll.VoseSimMean(With_12)),_xll.VoseSimMean(With_12),NA())</f>
        <v>103.47547377368869</v>
      </c>
    </row>
    <row r="63" spans="2:7" hidden="1" outlineLevel="1" x14ac:dyDescent="0.45">
      <c r="B63" s="58" t="s">
        <v>181</v>
      </c>
      <c r="C63" s="59" cm="1">
        <f t="array" aca="1" ref="C63" ca="1">IF(ISNUMBER(_xll.VoseSimMean(Without_13)),_xll.VoseSimMean(Without_13),NA())</f>
        <v>105.01455072753637</v>
      </c>
      <c r="D63" s="59" cm="1">
        <f t="array" aca="1" ref="D63" ca="1">IF(ISNUMBER(_xll.VoseSimMean(With_13)),_xll.VoseSimMean(With_13),NA())</f>
        <v>105.01455072753637</v>
      </c>
    </row>
    <row r="64" spans="2:7" hidden="1" outlineLevel="1" x14ac:dyDescent="0.45">
      <c r="B64" s="58" t="s">
        <v>182</v>
      </c>
      <c r="C64" s="59" cm="1">
        <f t="array" aca="1" ref="C64" ca="1">IF(ISNUMBER(_xll.VoseSimMean(Without_14)),_xll.VoseSimMean(Without_14),NA())</f>
        <v>106.17310865543277</v>
      </c>
      <c r="D64" s="59" cm="1">
        <f t="array" aca="1" ref="D64" ca="1">IF(ISNUMBER(_xll.VoseSimMean(With_14)),_xll.VoseSimMean(With_14),NA())</f>
        <v>106.17310865543277</v>
      </c>
    </row>
    <row r="65" spans="2:4" hidden="1" outlineLevel="1" x14ac:dyDescent="0.45">
      <c r="B65" s="58" t="s">
        <v>183</v>
      </c>
      <c r="C65" s="59" cm="1">
        <f t="array" aca="1" ref="C65" ca="1">IF(ISNUMBER(_xll.VoseSimMean(Without_15)),_xll.VoseSimMean(Without_15),NA())</f>
        <v>107.58432921646083</v>
      </c>
      <c r="D65" s="59" cm="1">
        <f t="array" aca="1" ref="D65" ca="1">IF(ISNUMBER(_xll.VoseSimMean(With_15)),_xll.VoseSimMean(With_15),NA())</f>
        <v>107.58432921646083</v>
      </c>
    </row>
    <row r="66" spans="2:4" hidden="1" outlineLevel="1" x14ac:dyDescent="0.45">
      <c r="B66" s="58" t="s">
        <v>184</v>
      </c>
      <c r="C66" s="59" cm="1">
        <f t="array" aca="1" ref="C66" ca="1">IF(ISNUMBER(_xll.VoseSimMean(Without_16)),_xll.VoseSimMean(Without_16),NA())</f>
        <v>108.85034251712585</v>
      </c>
      <c r="D66" s="59" cm="1">
        <f t="array" aca="1" ref="D66" ca="1">IF(ISNUMBER(_xll.VoseSimMean(With_16)),_xll.VoseSimMean(With_16),NA())</f>
        <v>108.85034251712585</v>
      </c>
    </row>
    <row r="67" spans="2:4" hidden="1" outlineLevel="1" x14ac:dyDescent="0.45">
      <c r="B67" s="58" t="s">
        <v>185</v>
      </c>
      <c r="C67" s="59" cm="1">
        <f t="array" aca="1" ref="C67" ca="1">IF(ISNUMBER(_xll.VoseSimMean(Without_17)),_xll.VoseSimMean(Without_17),NA())</f>
        <v>110.09550477523877</v>
      </c>
      <c r="D67" s="59" cm="1">
        <f t="array" aca="1" ref="D67" ca="1">IF(ISNUMBER(_xll.VoseSimMean(With_17)),_xll.VoseSimMean(With_17),NA())</f>
        <v>110.09550477523877</v>
      </c>
    </row>
    <row r="68" spans="2:4" hidden="1" outlineLevel="1" x14ac:dyDescent="0.45">
      <c r="B68" s="58" t="s">
        <v>186</v>
      </c>
      <c r="C68" s="59" cm="1">
        <f t="array" aca="1" ref="C68" ca="1">IF(ISNUMBER(_xll.VoseSimMean(Without_18)),_xll.VoseSimMean(Without_18),NA())</f>
        <v>111.45327266363319</v>
      </c>
      <c r="D68" s="59" cm="1">
        <f t="array" aca="1" ref="D68" ca="1">IF(ISNUMBER(_xll.VoseSimMean(With_18)),_xll.VoseSimMean(With_18),NA())</f>
        <v>111.45327266363319</v>
      </c>
    </row>
    <row r="69" spans="2:4" hidden="1" outlineLevel="1" x14ac:dyDescent="0.45">
      <c r="B69" s="58" t="s">
        <v>187</v>
      </c>
      <c r="C69" s="59" cm="1">
        <f t="array" aca="1" ref="C69" ca="1">IF(ISNUMBER(_xll.VoseSimMean(Without_19)),_xll.VoseSimMean(Without_19),NA())</f>
        <v>112.72378618930946</v>
      </c>
      <c r="D69" s="59" cm="1">
        <f t="array" aca="1" ref="D69" ca="1">IF(ISNUMBER(_xll.VoseSimMean(With_19)),_xll.VoseSimMean(With_19),NA())</f>
        <v>112.72378618930946</v>
      </c>
    </row>
    <row r="70" spans="2:4" hidden="1" outlineLevel="1" x14ac:dyDescent="0.45">
      <c r="B70" s="58" t="s">
        <v>188</v>
      </c>
      <c r="C70" s="59" cm="1">
        <f t="array" aca="1" ref="C70" ca="1">IF(ISNUMBER(_xll.VoseSimMean(Without_20)),_xll.VoseSimMean(Without_20),NA())</f>
        <v>114.07755387769389</v>
      </c>
      <c r="D70" s="59" cm="1">
        <f t="array" aca="1" ref="D70" ca="1">IF(ISNUMBER(_xll.VoseSimMean(With_20)),_xll.VoseSimMean(With_20),NA())</f>
        <v>112.9449972498625</v>
      </c>
    </row>
    <row r="71" spans="2:4" hidden="1" outlineLevel="1" x14ac:dyDescent="0.45">
      <c r="B71" s="58" t="s">
        <v>189</v>
      </c>
      <c r="C71" s="59" cm="1">
        <f t="array" aca="1" ref="C71" ca="1">IF(ISNUMBER(_xll.VoseSimMean(Without_21)),_xll.VoseSimMean(Without_21),NA())</f>
        <v>115.2323616180809</v>
      </c>
      <c r="D71" s="59" cm="1">
        <f t="array" aca="1" ref="D71" ca="1">IF(ISNUMBER(_xll.VoseSimMean(With_21)),_xll.VoseSimMean(With_21),NA())</f>
        <v>112.98674933746688</v>
      </c>
    </row>
    <row r="72" spans="2:4" hidden="1" outlineLevel="1" x14ac:dyDescent="0.45">
      <c r="B72" s="58" t="s">
        <v>190</v>
      </c>
      <c r="C72" s="59" cm="1">
        <f t="array" aca="1" ref="C72" ca="1">IF(ISNUMBER(_xll.VoseSimMean(Without_22)),_xll.VoseSimMean(Without_22),NA())</f>
        <v>116.65668283414171</v>
      </c>
      <c r="D72" s="59" cm="1">
        <f t="array" aca="1" ref="D72" ca="1">IF(ISNUMBER(_xll.VoseSimMean(With_22)),_xll.VoseSimMean(With_22),NA())</f>
        <v>113.24991249562478</v>
      </c>
    </row>
    <row r="73" spans="2:4" hidden="1" outlineLevel="1" x14ac:dyDescent="0.45">
      <c r="B73" s="58" t="s">
        <v>191</v>
      </c>
      <c r="C73" s="59" cm="1">
        <f t="array" aca="1" ref="C73" ca="1">IF(ISNUMBER(_xll.VoseSimMean(Without_23)),_xll.VoseSimMean(Without_23),NA())</f>
        <v>118.05150257512875</v>
      </c>
      <c r="D73" s="59" cm="1">
        <f t="array" aca="1" ref="D73" ca="1">IF(ISNUMBER(_xll.VoseSimMean(With_23)),_xll.VoseSimMean(With_23),NA())</f>
        <v>113.5190759537977</v>
      </c>
    </row>
    <row r="74" spans="2:4" hidden="1" outlineLevel="1" x14ac:dyDescent="0.45">
      <c r="B74" s="58" t="s">
        <v>192</v>
      </c>
      <c r="C74" s="59" cm="1">
        <f t="array" aca="1" ref="C74" ca="1">IF(ISNUMBER(_xll.VoseSimMean(Without_24)),_xll.VoseSimMean(Without_24),NA())</f>
        <v>119.19710985549277</v>
      </c>
      <c r="D74" s="59" cm="1">
        <f t="array" aca="1" ref="D74" ca="1">IF(ISNUMBER(_xll.VoseSimMean(With_24)),_xll.VoseSimMean(With_24),NA())</f>
        <v>113.48802440122006</v>
      </c>
    </row>
    <row r="75" spans="2:4" hidden="1" outlineLevel="1" x14ac:dyDescent="0.45">
      <c r="B75" s="58" t="s">
        <v>193</v>
      </c>
      <c r="C75" s="59" cm="1">
        <f t="array" aca="1" ref="C75" ca="1">IF(ISNUMBER(_xll.VoseSimMean(Without_25)),_xll.VoseSimMean(Without_25),NA())</f>
        <v>120.53992699634982</v>
      </c>
      <c r="D75" s="59" cm="1">
        <f t="array" aca="1" ref="D75" ca="1">IF(ISNUMBER(_xll.VoseSimMean(With_25)),_xll.VoseSimMean(With_25),NA())</f>
        <v>113.53587679383969</v>
      </c>
    </row>
    <row r="76" spans="2:4" hidden="1" outlineLevel="1" x14ac:dyDescent="0.45">
      <c r="B76" s="58" t="s">
        <v>194</v>
      </c>
      <c r="C76" s="59" cm="1">
        <f t="array" aca="1" ref="C76" ca="1">IF(ISNUMBER(_xll.VoseSimMean(Without_26)),_xll.VoseSimMean(Without_26),NA())</f>
        <v>121.79228961448072</v>
      </c>
      <c r="D76" s="59" cm="1">
        <f t="array" aca="1" ref="D76" ca="1">IF(ISNUMBER(_xll.VoseSimMean(With_26)),_xll.VoseSimMean(With_26),NA())</f>
        <v>113.6294814740737</v>
      </c>
    </row>
    <row r="77" spans="2:4" hidden="1" outlineLevel="1" x14ac:dyDescent="0.45">
      <c r="B77" s="58" t="s">
        <v>195</v>
      </c>
      <c r="C77" s="59" cm="1">
        <f t="array" aca="1" ref="C77" ca="1">IF(ISNUMBER(_xll.VoseSimMean(Without_27)),_xll.VoseSimMean(Without_27),NA())</f>
        <v>123.12850642532126</v>
      </c>
      <c r="D77" s="59" cm="1">
        <f t="array" aca="1" ref="D77" ca="1">IF(ISNUMBER(_xll.VoseSimMean(With_27)),_xll.VoseSimMean(With_27),NA())</f>
        <v>113.61283064153207</v>
      </c>
    </row>
    <row r="78" spans="2:4" hidden="1" outlineLevel="1" x14ac:dyDescent="0.45">
      <c r="B78" s="58" t="s">
        <v>196</v>
      </c>
      <c r="C78" s="59" cm="1">
        <f t="array" aca="1" ref="C78" ca="1">IF(ISNUMBER(_xll.VoseSimMean(Without_28)),_xll.VoseSimMean(Without_28),NA())</f>
        <v>124.37136856842842</v>
      </c>
      <c r="D78" s="59" cm="1">
        <f t="array" aca="1" ref="D78" ca="1">IF(ISNUMBER(_xll.VoseSimMean(With_28)),_xll.VoseSimMean(With_28),NA())</f>
        <v>113.48982449122457</v>
      </c>
    </row>
    <row r="79" spans="2:4" hidden="1" outlineLevel="1" x14ac:dyDescent="0.45">
      <c r="B79" s="58" t="s">
        <v>197</v>
      </c>
      <c r="C79" s="59" cm="1">
        <f t="array" aca="1" ref="C79" ca="1">IF(ISNUMBER(_xll.VoseSimMean(Without_29)),_xll.VoseSimMean(Without_29),NA())</f>
        <v>125.74458722936147</v>
      </c>
      <c r="D79" s="59" cm="1">
        <f t="array" aca="1" ref="D79" ca="1">IF(ISNUMBER(_xll.VoseSimMean(With_29)),_xll.VoseSimMean(With_29),NA())</f>
        <v>113.51147557377868</v>
      </c>
    </row>
    <row r="80" spans="2:4" hidden="1" outlineLevel="1" x14ac:dyDescent="0.45">
      <c r="B80" s="58" t="s">
        <v>198</v>
      </c>
      <c r="C80" s="59" cm="1">
        <f t="array" aca="1" ref="C80" ca="1">IF(ISNUMBER(_xll.VoseSimMean(Without_30)),_xll.VoseSimMean(Without_30),NA())</f>
        <v>127.17760888044403</v>
      </c>
      <c r="D80" s="59" cm="1">
        <f t="array" aca="1" ref="D80" ca="1">IF(ISNUMBER(_xll.VoseSimMean(With_30)),_xll.VoseSimMean(With_30),NA())</f>
        <v>113.61233061653083</v>
      </c>
    </row>
    <row r="81" spans="2:4" hidden="1" outlineLevel="1" x14ac:dyDescent="0.45">
      <c r="B81" s="58" t="s">
        <v>199</v>
      </c>
      <c r="C81" s="59" cm="1">
        <f t="array" aca="1" ref="C81" ca="1">IF(ISNUMBER(_xll.VoseSimMean(Without_31)),_xll.VoseSimMean(Without_31),NA())</f>
        <v>128.26321316065804</v>
      </c>
      <c r="D81" s="59" cm="1">
        <f t="array" aca="1" ref="D81" ca="1">IF(ISNUMBER(_xll.VoseSimMean(With_31)),_xll.VoseSimMean(With_31),NA())</f>
        <v>113.42537126856342</v>
      </c>
    </row>
    <row r="82" spans="2:4" hidden="1" outlineLevel="1" x14ac:dyDescent="0.45">
      <c r="B82" s="58" t="s">
        <v>200</v>
      </c>
      <c r="C82" s="59" cm="1">
        <f t="array" aca="1" ref="C82" ca="1">IF(ISNUMBER(_xll.VoseSimMean(Without_32)),_xll.VoseSimMean(Without_32),NA())</f>
        <v>129.70748537426871</v>
      </c>
      <c r="D82" s="59" cm="1">
        <f t="array" aca="1" ref="D82" ca="1">IF(ISNUMBER(_xll.VoseSimMean(With_32)),_xll.VoseSimMean(With_32),NA())</f>
        <v>113.48007400370018</v>
      </c>
    </row>
    <row r="83" spans="2:4" hidden="1" outlineLevel="1" x14ac:dyDescent="0.45">
      <c r="B83" s="58" t="s">
        <v>201</v>
      </c>
      <c r="C83" s="59" cm="1">
        <f t="array" aca="1" ref="C83" ca="1">IF(ISNUMBER(_xll.VoseSimMean(Without_33)),_xll.VoseSimMean(Without_33),NA())</f>
        <v>130.87099354967748</v>
      </c>
      <c r="D83" s="59" cm="1">
        <f t="array" aca="1" ref="D83" ca="1">IF(ISNUMBER(_xll.VoseSimMean(With_33)),_xll.VoseSimMean(With_33),NA())</f>
        <v>113.28866443322165</v>
      </c>
    </row>
    <row r="84" spans="2:4" hidden="1" outlineLevel="1" x14ac:dyDescent="0.45">
      <c r="B84" s="58" t="s">
        <v>202</v>
      </c>
      <c r="C84" s="59" cm="1">
        <f t="array" aca="1" ref="C84" ca="1">IF(ISNUMBER(_xll.VoseSimMean(Without_34)),_xll.VoseSimMean(Without_34),NA())</f>
        <v>132.1433571678584</v>
      </c>
      <c r="D84" s="59" cm="1">
        <f t="array" aca="1" ref="D84" ca="1">IF(ISNUMBER(_xll.VoseSimMean(With_34)),_xll.VoseSimMean(With_34),NA())</f>
        <v>113.09420471023552</v>
      </c>
    </row>
    <row r="85" spans="2:4" hidden="1" outlineLevel="1" x14ac:dyDescent="0.45">
      <c r="B85" s="58" t="s">
        <v>203</v>
      </c>
      <c r="C85" s="59" cm="1">
        <f t="array" aca="1" ref="C85" ca="1">IF(ISNUMBER(_xll.VoseSimMean(Without_35)),_xll.VoseSimMean(Without_35),NA())</f>
        <v>133.54282714135707</v>
      </c>
      <c r="D85" s="59" cm="1">
        <f t="array" aca="1" ref="D85" ca="1">IF(ISNUMBER(_xll.VoseSimMean(With_35)),_xll.VoseSimMean(With_35),NA())</f>
        <v>112.95019750987549</v>
      </c>
    </row>
    <row r="86" spans="2:4" hidden="1" outlineLevel="1" x14ac:dyDescent="0.45">
      <c r="B86" s="58" t="s">
        <v>204</v>
      </c>
      <c r="C86" s="59" cm="1">
        <f t="array" aca="1" ref="C86" ca="1">IF(ISNUMBER(_xll.VoseSimMean(Without_36)),_xll.VoseSimMean(Without_36),NA())</f>
        <v>134.97044852242612</v>
      </c>
      <c r="D86" s="59" cm="1">
        <f t="array" aca="1" ref="D86" ca="1">IF(ISNUMBER(_xll.VoseSimMean(With_36)),_xll.VoseSimMean(With_36),NA())</f>
        <v>112.8124406220311</v>
      </c>
    </row>
    <row r="87" spans="2:4" hidden="1" outlineLevel="1" x14ac:dyDescent="0.45">
      <c r="B87" s="58" t="s">
        <v>205</v>
      </c>
      <c r="C87" s="59" cm="1">
        <f t="array" aca="1" ref="C87" ca="1">IF(ISNUMBER(_xll.VoseSimMean(Without_37)),_xll.VoseSimMean(Without_37),NA())</f>
        <v>136.19320966048303</v>
      </c>
      <c r="D87" s="59" cm="1">
        <f t="array" aca="1" ref="D87" ca="1">IF(ISNUMBER(_xll.VoseSimMean(With_37)),_xll.VoseSimMean(With_37),NA())</f>
        <v>112.33846692334616</v>
      </c>
    </row>
    <row r="88" spans="2:4" hidden="1" outlineLevel="1" x14ac:dyDescent="0.45">
      <c r="B88" s="58" t="s">
        <v>206</v>
      </c>
      <c r="C88" s="59" cm="1">
        <f t="array" aca="1" ref="C88" ca="1">IF(ISNUMBER(_xll.VoseSimMean(Without_38)),_xll.VoseSimMean(Without_38),NA())</f>
        <v>137.27101355067754</v>
      </c>
      <c r="D88" s="59" cm="1">
        <f t="array" aca="1" ref="D88" ca="1">IF(ISNUMBER(_xll.VoseSimMean(With_38)),_xll.VoseSimMean(With_38),NA())</f>
        <v>111.89654482724136</v>
      </c>
    </row>
    <row r="89" spans="2:4" hidden="1" outlineLevel="1" x14ac:dyDescent="0.45">
      <c r="B89" s="58" t="s">
        <v>207</v>
      </c>
      <c r="C89" s="59" cm="1">
        <f t="array" aca="1" ref="C89" ca="1">IF(ISNUMBER(_xll.VoseSimMean(Without_39)),_xll.VoseSimMean(Without_39),NA())</f>
        <v>138.66728336416821</v>
      </c>
      <c r="D89" s="59" cm="1">
        <f t="array" aca="1" ref="D89" ca="1">IF(ISNUMBER(_xll.VoseSimMean(With_39)),_xll.VoseSimMean(With_39),NA())</f>
        <v>111.81984099204961</v>
      </c>
    </row>
    <row r="90" spans="2:4" hidden="1" outlineLevel="1" x14ac:dyDescent="0.45">
      <c r="B90" s="58" t="s">
        <v>208</v>
      </c>
      <c r="C90" s="59" cm="1">
        <f t="array" aca="1" ref="C90" ca="1">IF(ISNUMBER(_xll.VoseSimMean(Without_40)),_xll.VoseSimMean(Without_40),NA())</f>
        <v>139.99599979998999</v>
      </c>
      <c r="D90" s="59" cm="1">
        <f t="array" aca="1" ref="D90" ca="1">IF(ISNUMBER(_xll.VoseSimMean(With_40)),_xll.VoseSimMean(With_40),NA())</f>
        <v>111.48437421871094</v>
      </c>
    </row>
    <row r="91" spans="2:4" hidden="1" outlineLevel="1" x14ac:dyDescent="0.45">
      <c r="B91" s="58" t="s">
        <v>209</v>
      </c>
      <c r="C91" s="59" cm="1">
        <f t="array" aca="1" ref="C91" ca="1">IF(ISNUMBER(_xll.VoseSimMean(Without_41)),_xll.VoseSimMean(Without_41),NA())</f>
        <v>141.24866243312167</v>
      </c>
      <c r="D91" s="59" cm="1">
        <f t="array" aca="1" ref="D91" ca="1">IF(ISNUMBER(_xll.VoseSimMean(With_41)),_xll.VoseSimMean(With_41),NA())</f>
        <v>111.2047602380119</v>
      </c>
    </row>
    <row r="92" spans="2:4" hidden="1" outlineLevel="1" x14ac:dyDescent="0.45">
      <c r="B92" s="58" t="s">
        <v>210</v>
      </c>
      <c r="C92" s="59" cm="1">
        <f t="array" aca="1" ref="C92" ca="1">IF(ISNUMBER(_xll.VoseSimMean(Without_42)),_xll.VoseSimMean(Without_42),NA())</f>
        <v>142.43917195859794</v>
      </c>
      <c r="D92" s="59" cm="1">
        <f t="array" aca="1" ref="D92" ca="1">IF(ISNUMBER(_xll.VoseSimMean(With_42)),_xll.VoseSimMean(With_42),NA())</f>
        <v>110.71943597179859</v>
      </c>
    </row>
    <row r="93" spans="2:4" hidden="1" outlineLevel="1" x14ac:dyDescent="0.45">
      <c r="B93" s="58" t="s">
        <v>211</v>
      </c>
      <c r="C93" s="59" cm="1">
        <f t="array" aca="1" ref="C93" ca="1">IF(ISNUMBER(_xll.VoseSimMean(Without_43)),_xll.VoseSimMean(Without_43),NA())</f>
        <v>143.86369318465924</v>
      </c>
      <c r="D93" s="59" cm="1">
        <f t="array" aca="1" ref="D93" ca="1">IF(ISNUMBER(_xll.VoseSimMean(With_43)),_xll.VoseSimMean(With_43),NA())</f>
        <v>110.38871943597179</v>
      </c>
    </row>
    <row r="94" spans="2:4" hidden="1" outlineLevel="1" x14ac:dyDescent="0.45">
      <c r="B94" s="58" t="s">
        <v>212</v>
      </c>
      <c r="C94" s="59" cm="1">
        <f t="array" aca="1" ref="C94" ca="1">IF(ISNUMBER(_xll.VoseSimMean(Without_44)),_xll.VoseSimMean(Without_44),NA())</f>
        <v>145.17735886794341</v>
      </c>
      <c r="D94" s="59" cm="1">
        <f t="array" aca="1" ref="D94" ca="1">IF(ISNUMBER(_xll.VoseSimMean(With_44)),_xll.VoseSimMean(With_44),NA())</f>
        <v>110.20686034301715</v>
      </c>
    </row>
    <row r="95" spans="2:4" hidden="1" outlineLevel="1" x14ac:dyDescent="0.45">
      <c r="B95" s="58" t="s">
        <v>213</v>
      </c>
      <c r="C95" s="59" cm="1">
        <f t="array" aca="1" ref="C95" ca="1">IF(ISNUMBER(_xll.VoseSimMean(Without_45)),_xll.VoseSimMean(Without_45),NA())</f>
        <v>146.58632931646582</v>
      </c>
      <c r="D95" s="59" cm="1">
        <f t="array" aca="1" ref="D95" ca="1">IF(ISNUMBER(_xll.VoseSimMean(With_45)),_xll.VoseSimMean(With_45),NA())</f>
        <v>109.92334616730837</v>
      </c>
    </row>
    <row r="96" spans="2:4" hidden="1" outlineLevel="1" x14ac:dyDescent="0.45">
      <c r="B96" s="58" t="s">
        <v>214</v>
      </c>
      <c r="C96" s="59" cm="1">
        <f t="array" aca="1" ref="C96" ca="1">IF(ISNUMBER(_xll.VoseSimMean(Without_46)),_xll.VoseSimMean(Without_46),NA())</f>
        <v>147.82784139206962</v>
      </c>
      <c r="D96" s="59" cm="1">
        <f t="array" aca="1" ref="D96" ca="1">IF(ISNUMBER(_xll.VoseSimMean(With_46)),_xll.VoseSimMean(With_46),NA())</f>
        <v>109.31016550827542</v>
      </c>
    </row>
    <row r="97" spans="2:4" hidden="1" outlineLevel="1" x14ac:dyDescent="0.45">
      <c r="B97" s="58" t="s">
        <v>215</v>
      </c>
      <c r="C97" s="59" cm="1">
        <f t="array" aca="1" ref="C97" ca="1">IF(ISNUMBER(_xll.VoseSimMean(Without_47)),_xll.VoseSimMean(Without_47),NA())</f>
        <v>149.06635331766589</v>
      </c>
      <c r="D97" s="59" cm="1">
        <f t="array" aca="1" ref="D97" ca="1">IF(ISNUMBER(_xll.VoseSimMean(With_47)),_xll.VoseSimMean(With_47),NA())</f>
        <v>108.66898344917246</v>
      </c>
    </row>
    <row r="98" spans="2:4" hidden="1" outlineLevel="1" x14ac:dyDescent="0.45">
      <c r="B98" s="58" t="s">
        <v>216</v>
      </c>
      <c r="C98" s="59" cm="1">
        <f t="array" aca="1" ref="C98" ca="1">IF(ISNUMBER(_xll.VoseSimMean(Without_48)),_xll.VoseSimMean(Without_48),NA())</f>
        <v>150.63208160408021</v>
      </c>
      <c r="D98" s="59" cm="1">
        <f t="array" aca="1" ref="D98" ca="1">IF(ISNUMBER(_xll.VoseSimMean(With_48)),_xll.VoseSimMean(With_48),NA())</f>
        <v>108.39761988099404</v>
      </c>
    </row>
    <row r="99" spans="2:4" hidden="1" outlineLevel="1" x14ac:dyDescent="0.45">
      <c r="B99" s="58" t="s">
        <v>217</v>
      </c>
      <c r="C99" s="59" cm="1">
        <f t="array" aca="1" ref="C99" ca="1">IF(ISNUMBER(_xll.VoseSimMean(Without_49)),_xll.VoseSimMean(Without_49),NA())</f>
        <v>151.7010350517526</v>
      </c>
      <c r="D99" s="59" cm="1">
        <f t="array" aca="1" ref="D99" ca="1">IF(ISNUMBER(_xll.VoseSimMean(With_49)),_xll.VoseSimMean(With_49),NA())</f>
        <v>107.67228361418071</v>
      </c>
    </row>
    <row r="100" spans="2:4" hidden="1" outlineLevel="1" x14ac:dyDescent="0.45">
      <c r="B100" s="58" t="s">
        <v>218</v>
      </c>
      <c r="C100" s="59" cm="1">
        <f t="array" aca="1" ref="C100" ca="1">IF(ISNUMBER(_xll.VoseSimMean(Without_50)),_xll.VoseSimMean(Without_50),NA())</f>
        <v>152.76153807690383</v>
      </c>
      <c r="D100" s="59" cm="1">
        <f t="array" aca="1" ref="D100" ca="1">IF(ISNUMBER(_xll.VoseSimMean(With_50)),_xll.VoseSimMean(With_50),NA())</f>
        <v>106.95494774738737</v>
      </c>
    </row>
    <row r="101" spans="2:4" hidden="1" outlineLevel="1" x14ac:dyDescent="0.45">
      <c r="B101" s="58" t="s">
        <v>219</v>
      </c>
      <c r="C101" s="59" cm="1">
        <f t="array" aca="1" ref="C101" ca="1">IF(ISNUMBER(_xll.VoseSimMean(Without_51)),_xll.VoseSimMean(Without_51),NA())</f>
        <v>154.49567478373919</v>
      </c>
      <c r="D101" s="59" cm="1">
        <f t="array" aca="1" ref="D101" ca="1">IF(ISNUMBER(_xll.VoseSimMean(With_51)),_xll.VoseSimMean(With_51),NA())</f>
        <v>108.15865793289665</v>
      </c>
    </row>
    <row r="102" spans="2:4" hidden="1" outlineLevel="1" x14ac:dyDescent="0.45">
      <c r="B102" s="58" t="s">
        <v>220</v>
      </c>
      <c r="C102" s="59" cm="1">
        <f t="array" aca="1" ref="C102" ca="1">IF(ISNUMBER(_xll.VoseSimMean(Without_52)),_xll.VoseSimMean(Without_52),NA())</f>
        <v>155.38981949097456</v>
      </c>
      <c r="D102" s="59" cm="1">
        <f t="array" aca="1" ref="D102" ca="1">IF(ISNUMBER(_xll.VoseSimMean(With_52)),_xll.VoseSimMean(With_52),NA())</f>
        <v>108.76073803690184</v>
      </c>
    </row>
    <row r="103" spans="2:4" hidden="1" outlineLevel="1" x14ac:dyDescent="0.45">
      <c r="B103" s="58" t="s">
        <v>221</v>
      </c>
      <c r="C103" s="59" cm="1">
        <f t="array" aca="1" ref="C103" ca="1">IF(ISNUMBER(_xll.VoseSimMean(Without_53)),_xll.VoseSimMean(Without_53),NA())</f>
        <v>156.97934896744837</v>
      </c>
      <c r="D103" s="59" cm="1">
        <f t="array" aca="1" ref="D103" ca="1">IF(ISNUMBER(_xll.VoseSimMean(With_53)),_xll.VoseSimMean(With_53),NA())</f>
        <v>109.94904745237262</v>
      </c>
    </row>
    <row r="104" spans="2:4" hidden="1" outlineLevel="1" x14ac:dyDescent="0.45">
      <c r="B104" s="58" t="s">
        <v>222</v>
      </c>
      <c r="C104" s="59" cm="1">
        <f t="array" aca="1" ref="C104" ca="1">IF(ISNUMBER(_xll.VoseSimMean(Without_54)),_xll.VoseSimMean(Without_54),NA())</f>
        <v>158.25206260313016</v>
      </c>
      <c r="D104" s="59" cm="1">
        <f t="array" aca="1" ref="D104" ca="1">IF(ISNUMBER(_xll.VoseSimMean(With_54)),_xll.VoseSimMean(With_54),NA())</f>
        <v>110.7726386319316</v>
      </c>
    </row>
    <row r="105" spans="2:4" hidden="1" outlineLevel="1" x14ac:dyDescent="0.45">
      <c r="B105" s="58" t="s">
        <v>223</v>
      </c>
      <c r="C105" s="59" cm="1">
        <f t="array" aca="1" ref="C105" ca="1">IF(ISNUMBER(_xll.VoseSimMean(Without_55)),_xll.VoseSimMean(Without_55),NA())</f>
        <v>159.64198209910495</v>
      </c>
      <c r="D105" s="59" cm="1">
        <f t="array" aca="1" ref="D105" ca="1">IF(ISNUMBER(_xll.VoseSimMean(With_55)),_xll.VoseSimMean(With_55),NA())</f>
        <v>111.74078703935197</v>
      </c>
    </row>
    <row r="106" spans="2:4" hidden="1" outlineLevel="1" x14ac:dyDescent="0.45">
      <c r="B106" s="58" t="s">
        <v>224</v>
      </c>
      <c r="C106" s="59" cm="1">
        <f t="array" aca="1" ref="C106" ca="1">IF(ISNUMBER(_xll.VoseSimMean(Without_56)),_xll.VoseSimMean(Without_56),NA())</f>
        <v>160.75158757937896</v>
      </c>
      <c r="D106" s="59" cm="1">
        <f t="array" aca="1" ref="D106" ca="1">IF(ISNUMBER(_xll.VoseSimMean(With_56)),_xll.VoseSimMean(With_56),NA())</f>
        <v>112.61193059652983</v>
      </c>
    </row>
    <row r="107" spans="2:4" hidden="1" outlineLevel="1" x14ac:dyDescent="0.45">
      <c r="B107" s="58" t="s">
        <v>225</v>
      </c>
      <c r="C107" s="59" cm="1">
        <f t="array" aca="1" ref="C107" ca="1">IF(ISNUMBER(_xll.VoseSimMean(Without_57)),_xll.VoseSimMean(Without_57),NA())</f>
        <v>162.10485524276214</v>
      </c>
      <c r="D107" s="59" cm="1">
        <f t="array" aca="1" ref="D107" ca="1">IF(ISNUMBER(_xll.VoseSimMean(With_57)),_xll.VoseSimMean(With_57),NA())</f>
        <v>113.43237161858093</v>
      </c>
    </row>
    <row r="108" spans="2:4" hidden="1" outlineLevel="1" x14ac:dyDescent="0.45">
      <c r="B108" s="58" t="s">
        <v>226</v>
      </c>
      <c r="C108" s="59" cm="1">
        <f t="array" aca="1" ref="C108" ca="1">IF(ISNUMBER(_xll.VoseSimMean(Without_58)),_xll.VoseSimMean(Without_58),NA())</f>
        <v>163.31641582079104</v>
      </c>
      <c r="D108" s="59" cm="1">
        <f t="array" aca="1" ref="D108" ca="1">IF(ISNUMBER(_xll.VoseSimMean(With_58)),_xll.VoseSimMean(With_58),NA())</f>
        <v>114.33966698334916</v>
      </c>
    </row>
    <row r="109" spans="2:4" hidden="1" outlineLevel="1" x14ac:dyDescent="0.45">
      <c r="B109" s="58" t="s">
        <v>227</v>
      </c>
      <c r="C109" s="59" cm="1">
        <f t="array" aca="1" ref="C109" ca="1">IF(ISNUMBER(_xll.VoseSimMean(Without_59)),_xll.VoseSimMean(Without_59),NA())</f>
        <v>164.5396769838492</v>
      </c>
      <c r="D109" s="59" cm="1">
        <f t="array" aca="1" ref="D109" ca="1">IF(ISNUMBER(_xll.VoseSimMean(With_59)),_xll.VoseSimMean(With_59),NA())</f>
        <v>115.17655882794139</v>
      </c>
    </row>
    <row r="110" spans="2:4" hidden="1" outlineLevel="1" x14ac:dyDescent="0.45">
      <c r="B110" s="58" t="s">
        <v>228</v>
      </c>
      <c r="C110" s="59" cm="1">
        <f t="array" aca="1" ref="C110" ca="1">IF(ISNUMBER(_xll.VoseSimMean(Without_60)),_xll.VoseSimMean(Without_60),NA())</f>
        <v>166.13380669033452</v>
      </c>
      <c r="D110" s="59" cm="1">
        <f t="array" aca="1" ref="D110" ca="1">IF(ISNUMBER(_xll.VoseSimMean(With_60)),_xll.VoseSimMean(With_60),NA())</f>
        <v>116.35376768838442</v>
      </c>
    </row>
    <row r="111" spans="2:4" hidden="1" outlineLevel="1" x14ac:dyDescent="0.45">
      <c r="B111" s="58" t="s">
        <v>229</v>
      </c>
      <c r="C111" s="59" cm="1">
        <f t="array" aca="1" ref="C111" ca="1">IF(ISNUMBER(_xll.VoseSimMean(Without_61)),_xll.VoseSimMean(Without_61),NA())</f>
        <v>167.38766938346916</v>
      </c>
      <c r="D111" s="59" cm="1">
        <f t="array" aca="1" ref="D111" ca="1">IF(ISNUMBER(_xll.VoseSimMean(With_61)),_xll.VoseSimMean(With_61),NA())</f>
        <v>117.18670933546677</v>
      </c>
    </row>
    <row r="112" spans="2:4" hidden="1" outlineLevel="1" x14ac:dyDescent="0.45">
      <c r="B112" s="58" t="s">
        <v>230</v>
      </c>
      <c r="C112" s="59" cm="1">
        <f t="array" aca="1" ref="C112" ca="1">IF(ISNUMBER(_xll.VoseSimMean(Without_62)),_xll.VoseSimMean(Without_62),NA())</f>
        <v>168.69463473173658</v>
      </c>
      <c r="D112" s="59" cm="1">
        <f t="array" aca="1" ref="D112" ca="1">IF(ISNUMBER(_xll.VoseSimMean(With_62)),_xll.VoseSimMean(With_62),NA())</f>
        <v>118.09245462273114</v>
      </c>
    </row>
    <row r="113" spans="2:4" hidden="1" outlineLevel="1" x14ac:dyDescent="0.45">
      <c r="B113" s="58" t="s">
        <v>231</v>
      </c>
      <c r="C113" s="59" cm="1">
        <f t="array" aca="1" ref="C113" ca="1">IF(ISNUMBER(_xll.VoseSimMean(Without_63)),_xll.VoseSimMean(Without_63),NA())</f>
        <v>169.87269363468172</v>
      </c>
      <c r="D113" s="59" cm="1">
        <f t="array" aca="1" ref="D113" ca="1">IF(ISNUMBER(_xll.VoseSimMean(With_63)),_xll.VoseSimMean(With_63),NA())</f>
        <v>118.92804640232012</v>
      </c>
    </row>
    <row r="114" spans="2:4" hidden="1" outlineLevel="1" x14ac:dyDescent="0.45">
      <c r="B114" s="58" t="s">
        <v>232</v>
      </c>
      <c r="C114" s="59" cm="1">
        <f t="array" aca="1" ref="C114" ca="1">IF(ISNUMBER(_xll.VoseSimMean(Without_64)),_xll.VoseSimMean(Without_64),NA())</f>
        <v>171.28016400820042</v>
      </c>
      <c r="D114" s="59" cm="1">
        <f t="array" aca="1" ref="D114" ca="1">IF(ISNUMBER(_xll.VoseSimMean(With_64)),_xll.VoseSimMean(With_64),NA())</f>
        <v>119.84704235211761</v>
      </c>
    </row>
    <row r="115" spans="2:4" hidden="1" outlineLevel="1" x14ac:dyDescent="0.45">
      <c r="B115" s="58" t="s">
        <v>233</v>
      </c>
      <c r="C115" s="59" cm="1">
        <f t="array" aca="1" ref="C115" ca="1">IF(ISNUMBER(_xll.VoseSimMean(Without_65)),_xll.VoseSimMean(Without_65),NA())</f>
        <v>172.52942647132357</v>
      </c>
      <c r="D115" s="59" cm="1">
        <f t="array" aca="1" ref="D115" ca="1">IF(ISNUMBER(_xll.VoseSimMean(With_65)),_xll.VoseSimMean(With_65),NA())</f>
        <v>120.77348867443372</v>
      </c>
    </row>
    <row r="116" spans="2:4" hidden="1" outlineLevel="1" x14ac:dyDescent="0.45">
      <c r="B116" s="58" t="s">
        <v>234</v>
      </c>
      <c r="C116" s="59" cm="1">
        <f t="array" aca="1" ref="C116" ca="1">IF(ISNUMBER(_xll.VoseSimMean(Without_66)),_xll.VoseSimMean(Without_66),NA())</f>
        <v>173.94109705485275</v>
      </c>
      <c r="D116" s="59" cm="1">
        <f t="array" aca="1" ref="D116" ca="1">IF(ISNUMBER(_xll.VoseSimMean(With_66)),_xll.VoseSimMean(With_66),NA())</f>
        <v>121.6242812140607</v>
      </c>
    </row>
    <row r="117" spans="2:4" hidden="1" outlineLevel="1" x14ac:dyDescent="0.45">
      <c r="B117" s="58" t="s">
        <v>235</v>
      </c>
      <c r="C117" s="59" cm="1">
        <f t="array" aca="1" ref="C117" ca="1">IF(ISNUMBER(_xll.VoseSimMean(Without_67)),_xll.VoseSimMean(Without_67),NA())</f>
        <v>175.10940547027351</v>
      </c>
      <c r="D117" s="59" cm="1">
        <f t="array" aca="1" ref="D117" ca="1">IF(ISNUMBER(_xll.VoseSimMean(With_67)),_xll.VoseSimMean(With_67),NA())</f>
        <v>122.56742837141857</v>
      </c>
    </row>
    <row r="118" spans="2:4" hidden="1" outlineLevel="1" x14ac:dyDescent="0.45">
      <c r="B118" s="58" t="s">
        <v>236</v>
      </c>
      <c r="C118" s="59" cm="1">
        <f t="array" aca="1" ref="C118" ca="1">IF(ISNUMBER(_xll.VoseSimMean(Without_68)),_xll.VoseSimMean(Without_68),NA())</f>
        <v>176.16705835291765</v>
      </c>
      <c r="D118" s="59" cm="1">
        <f t="array" aca="1" ref="D118" ca="1">IF(ISNUMBER(_xll.VoseSimMean(With_68)),_xll.VoseSimMean(With_68),NA())</f>
        <v>123.39381969098454</v>
      </c>
    </row>
    <row r="119" spans="2:4" hidden="1" outlineLevel="1" x14ac:dyDescent="0.45">
      <c r="B119" s="58" t="s">
        <v>237</v>
      </c>
      <c r="C119" s="59" cm="1">
        <f t="array" aca="1" ref="C119" ca="1">IF(ISNUMBER(_xll.VoseSimMean(Without_69)),_xll.VoseSimMean(Without_69),NA())</f>
        <v>177.67073353667683</v>
      </c>
      <c r="D119" s="59" cm="1">
        <f t="array" aca="1" ref="D119" ca="1">IF(ISNUMBER(_xll.VoseSimMean(With_69)),_xll.VoseSimMean(With_69),NA())</f>
        <v>124.34456722836141</v>
      </c>
    </row>
    <row r="120" spans="2:4" hidden="1" outlineLevel="1" x14ac:dyDescent="0.45">
      <c r="B120" s="58" t="s">
        <v>238</v>
      </c>
      <c r="C120" s="59" cm="1">
        <f t="array" aca="1" ref="C120" ca="1">IF(ISNUMBER(_xll.VoseSimMean(Without_70)),_xll.VoseSimMean(Without_70),NA())</f>
        <v>179.01715085754287</v>
      </c>
      <c r="D120" s="59" cm="1">
        <f t="array" aca="1" ref="D120" ca="1">IF(ISNUMBER(_xll.VoseSimMean(With_70)),_xll.VoseSimMean(With_70),NA())</f>
        <v>125.32386619330967</v>
      </c>
    </row>
    <row r="121" spans="2:4" hidden="1" outlineLevel="1" x14ac:dyDescent="0.45">
      <c r="B121" s="58" t="s">
        <v>239</v>
      </c>
      <c r="C121" s="59" cm="1">
        <f t="array" aca="1" ref="C121" ca="1">IF(ISNUMBER(_xll.VoseSimMean(Without_71)),_xll.VoseSimMean(Without_71),NA())</f>
        <v>180.21851092554627</v>
      </c>
      <c r="D121" s="59" cm="1">
        <f t="array" aca="1" ref="D121" ca="1">IF(ISNUMBER(_xll.VoseSimMean(With_71)),_xll.VoseSimMean(With_71),NA())</f>
        <v>126.12505625281264</v>
      </c>
    </row>
    <row r="122" spans="2:4" hidden="1" outlineLevel="1" x14ac:dyDescent="0.45">
      <c r="B122" s="58" t="s">
        <v>240</v>
      </c>
      <c r="C122" s="59" cm="1">
        <f t="array" aca="1" ref="C122" ca="1">IF(ISNUMBER(_xll.VoseSimMean(Without_72)),_xll.VoseSimMean(Without_72),NA())</f>
        <v>181.52917645882295</v>
      </c>
      <c r="D122" s="59" cm="1">
        <f t="array" aca="1" ref="D122" ca="1">IF(ISNUMBER(_xll.VoseSimMean(With_72)),_xll.VoseSimMean(With_72),NA())</f>
        <v>126.98539926996349</v>
      </c>
    </row>
    <row r="123" spans="2:4" hidden="1" outlineLevel="1" x14ac:dyDescent="0.45">
      <c r="B123" s="58" t="s">
        <v>241</v>
      </c>
      <c r="C123" s="59" cm="1">
        <f t="array" aca="1" ref="C123" ca="1">IF(ISNUMBER(_xll.VoseSimMean(Without_73)),_xll.VoseSimMean(Without_73),NA())</f>
        <v>182.88729436471823</v>
      </c>
      <c r="D123" s="59" cm="1">
        <f t="array" aca="1" ref="D123" ca="1">IF(ISNUMBER(_xll.VoseSimMean(With_73)),_xll.VoseSimMean(With_73),NA())</f>
        <v>127.984799239962</v>
      </c>
    </row>
    <row r="124" spans="2:4" hidden="1" outlineLevel="1" x14ac:dyDescent="0.45">
      <c r="B124" s="58" t="s">
        <v>242</v>
      </c>
      <c r="C124" s="59" cm="1">
        <f t="array" aca="1" ref="C124" ca="1">IF(ISNUMBER(_xll.VoseSimMean(Without_74)),_xll.VoseSimMean(Without_74),NA())</f>
        <v>184.13105655282763</v>
      </c>
      <c r="D124" s="59" cm="1">
        <f t="array" aca="1" ref="D124" ca="1">IF(ISNUMBER(_xll.VoseSimMean(With_74)),_xll.VoseSimMean(With_74),NA())</f>
        <v>128.97524876243813</v>
      </c>
    </row>
    <row r="125" spans="2:4" hidden="1" outlineLevel="1" x14ac:dyDescent="0.45">
      <c r="B125" s="58" t="s">
        <v>243</v>
      </c>
      <c r="C125" s="59" cm="1">
        <f t="array" aca="1" ref="C125" ca="1">IF(ISNUMBER(_xll.VoseSimMean(Without_75)),_xll.VoseSimMean(Without_75),NA())</f>
        <v>185.43337166858342</v>
      </c>
      <c r="D125" s="59" cm="1">
        <f t="array" aca="1" ref="D125" ca="1">IF(ISNUMBER(_xll.VoseSimMean(With_75)),_xll.VoseSimMean(With_75),NA())</f>
        <v>129.81699084954246</v>
      </c>
    </row>
    <row r="126" spans="2:4" hidden="1" outlineLevel="1" x14ac:dyDescent="0.45">
      <c r="B126" s="58" t="s">
        <v>244</v>
      </c>
      <c r="C126" s="59" cm="1">
        <f t="array" aca="1" ref="C126" ca="1">IF(ISNUMBER(_xll.VoseSimMean(Without_76)),_xll.VoseSimMean(Without_76),NA())</f>
        <v>186.55997799889994</v>
      </c>
      <c r="D126" s="59" cm="1">
        <f t="array" aca="1" ref="D126" ca="1">IF(ISNUMBER(_xll.VoseSimMean(With_76)),_xll.VoseSimMean(With_76),NA())</f>
        <v>130.60458022901145</v>
      </c>
    </row>
    <row r="127" spans="2:4" hidden="1" outlineLevel="1" x14ac:dyDescent="0.45">
      <c r="B127" s="58" t="s">
        <v>245</v>
      </c>
      <c r="C127" s="59" cm="1">
        <f t="array" aca="1" ref="C127" ca="1">IF(ISNUMBER(_xll.VoseSimMean(Without_77)),_xll.VoseSimMean(Without_77),NA())</f>
        <v>187.87879393969698</v>
      </c>
      <c r="D127" s="59" cm="1">
        <f t="array" aca="1" ref="D127" ca="1">IF(ISNUMBER(_xll.VoseSimMean(With_77)),_xll.VoseSimMean(With_77),NA())</f>
        <v>131.42077103855192</v>
      </c>
    </row>
    <row r="128" spans="2:4" hidden="1" outlineLevel="1" x14ac:dyDescent="0.45">
      <c r="B128" s="58" t="s">
        <v>246</v>
      </c>
      <c r="C128" s="59" cm="1">
        <f t="array" aca="1" ref="C128" ca="1">IF(ISNUMBER(_xll.VoseSimMean(Without_78)),_xll.VoseSimMean(Without_78),NA())</f>
        <v>189.17480874043702</v>
      </c>
      <c r="D128" s="59" cm="1">
        <f t="array" aca="1" ref="D128" ca="1">IF(ISNUMBER(_xll.VoseSimMean(With_78)),_xll.VoseSimMean(With_78),NA())</f>
        <v>132.40147007350367</v>
      </c>
    </row>
    <row r="129" spans="2:4" hidden="1" outlineLevel="1" x14ac:dyDescent="0.45">
      <c r="B129" s="58" t="s">
        <v>247</v>
      </c>
      <c r="C129" s="59" cm="1">
        <f t="array" aca="1" ref="C129" ca="1">IF(ISNUMBER(_xll.VoseSimMean(Without_79)),_xll.VoseSimMean(Without_79),NA())</f>
        <v>190.73118655932797</v>
      </c>
      <c r="D129" s="59" cm="1">
        <f t="array" aca="1" ref="D129" ca="1">IF(ISNUMBER(_xll.VoseSimMean(With_79)),_xll.VoseSimMean(With_79),NA())</f>
        <v>133.44607230361518</v>
      </c>
    </row>
    <row r="130" spans="2:4" hidden="1" outlineLevel="1" x14ac:dyDescent="0.45">
      <c r="B130" s="58" t="s">
        <v>248</v>
      </c>
      <c r="C130" s="59" cm="1">
        <f t="array" aca="1" ref="C130" ca="1">IF(ISNUMBER(_xll.VoseSimMean(Without_80)),_xll.VoseSimMean(Without_80),NA())</f>
        <v>191.76743837191859</v>
      </c>
      <c r="D130" s="59" cm="1">
        <f t="array" aca="1" ref="D130" ca="1">IF(ISNUMBER(_xll.VoseSimMean(With_80)),_xll.VoseSimMean(With_80),NA())</f>
        <v>134.27031351567578</v>
      </c>
    </row>
    <row r="131" spans="2:4" hidden="1" outlineLevel="1" x14ac:dyDescent="0.45">
      <c r="B131" s="58" t="s">
        <v>249</v>
      </c>
      <c r="C131" s="59" cm="1">
        <f t="array" aca="1" ref="C131" ca="1">IF(ISNUMBER(_xll.VoseSimMean(Without_81)),_xll.VoseSimMean(Without_81),NA())</f>
        <v>193.58792939646983</v>
      </c>
      <c r="D131" s="59" cm="1">
        <f t="array" aca="1" ref="D131" ca="1">IF(ISNUMBER(_xll.VoseSimMean(With_81)),_xll.VoseSimMean(With_81),NA())</f>
        <v>135.44537226861343</v>
      </c>
    </row>
    <row r="132" spans="2:4" hidden="1" outlineLevel="1" x14ac:dyDescent="0.45">
      <c r="B132" s="58" t="s">
        <v>250</v>
      </c>
      <c r="C132" s="59" cm="1">
        <f t="array" aca="1" ref="C132" ca="1">IF(ISNUMBER(_xll.VoseSimMean(Without_82)),_xll.VoseSimMean(Without_82),NA())</f>
        <v>194.43297164858242</v>
      </c>
      <c r="D132" s="59" cm="1">
        <f t="array" aca="1" ref="D132" ca="1">IF(ISNUMBER(_xll.VoseSimMean(With_82)),_xll.VoseSimMean(With_82),NA())</f>
        <v>136.05340267013349</v>
      </c>
    </row>
    <row r="133" spans="2:4" hidden="1" outlineLevel="1" x14ac:dyDescent="0.45">
      <c r="B133" s="58" t="s">
        <v>251</v>
      </c>
      <c r="C133" s="59" cm="1">
        <f t="array" aca="1" ref="C133" ca="1">IF(ISNUMBER(_xll.VoseSimMean(Without_83)),_xll.VoseSimMean(Without_83),NA())</f>
        <v>195.88419420971047</v>
      </c>
      <c r="D133" s="59" cm="1">
        <f t="array" aca="1" ref="D133" ca="1">IF(ISNUMBER(_xll.VoseSimMean(With_83)),_xll.VoseSimMean(With_83),NA())</f>
        <v>137.15715785789288</v>
      </c>
    </row>
    <row r="134" spans="2:4" hidden="1" outlineLevel="1" x14ac:dyDescent="0.45">
      <c r="B134" s="58" t="s">
        <v>252</v>
      </c>
      <c r="C134" s="59" cm="1">
        <f t="array" aca="1" ref="C134" ca="1">IF(ISNUMBER(_xll.VoseSimMean(Without_84)),_xll.VoseSimMean(Without_84),NA())</f>
        <v>197.27421371068553</v>
      </c>
      <c r="D134" s="59" cm="1">
        <f t="array" aca="1" ref="D134" ca="1">IF(ISNUMBER(_xll.VoseSimMean(With_84)),_xll.VoseSimMean(With_84),NA())</f>
        <v>138.07930396519825</v>
      </c>
    </row>
    <row r="135" spans="2:4" hidden="1" outlineLevel="1" x14ac:dyDescent="0.45">
      <c r="B135" s="58" t="s">
        <v>253</v>
      </c>
      <c r="C135" s="59" cm="1">
        <f t="array" aca="1" ref="C135" ca="1">IF(ISNUMBER(_xll.VoseSimMean(Without_85)),_xll.VoseSimMean(Without_85),NA())</f>
        <v>198.44132206610331</v>
      </c>
      <c r="D135" s="59" cm="1">
        <f t="array" aca="1" ref="D135" ca="1">IF(ISNUMBER(_xll.VoseSimMean(With_85)),_xll.VoseSimMean(With_85),NA())</f>
        <v>138.88104405220261</v>
      </c>
    </row>
    <row r="136" spans="2:4" hidden="1" outlineLevel="1" x14ac:dyDescent="0.45">
      <c r="B136" s="58" t="s">
        <v>254</v>
      </c>
      <c r="C136" s="59" cm="1">
        <f t="array" aca="1" ref="C136" ca="1">IF(ISNUMBER(_xll.VoseSimMean(Without_86)),_xll.VoseSimMean(Without_86),NA())</f>
        <v>199.66233311665584</v>
      </c>
      <c r="D136" s="59" cm="1">
        <f t="array" aca="1" ref="D136" ca="1">IF(ISNUMBER(_xll.VoseSimMean(With_86)),_xll.VoseSimMean(With_86),NA())</f>
        <v>139.83934196709836</v>
      </c>
    </row>
    <row r="137" spans="2:4" hidden="1" outlineLevel="1" x14ac:dyDescent="0.45">
      <c r="B137" s="58" t="s">
        <v>255</v>
      </c>
      <c r="C137" s="59" cm="1">
        <f t="array" aca="1" ref="C137" ca="1">IF(ISNUMBER(_xll.VoseSimMean(Without_87)),_xll.VoseSimMean(Without_87),NA())</f>
        <v>201.06375318765939</v>
      </c>
      <c r="D137" s="59" cm="1">
        <f t="array" aca="1" ref="D137" ca="1">IF(ISNUMBER(_xll.VoseSimMean(With_87)),_xll.VoseSimMean(With_87),NA())</f>
        <v>140.72703635181759</v>
      </c>
    </row>
    <row r="138" spans="2:4" hidden="1" outlineLevel="1" x14ac:dyDescent="0.45">
      <c r="B138" s="58" t="s">
        <v>256</v>
      </c>
      <c r="C138" s="59" cm="1">
        <f t="array" aca="1" ref="C138" ca="1">IF(ISNUMBER(_xll.VoseSimMean(Without_88)),_xll.VoseSimMean(Without_88),NA())</f>
        <v>202.52857642882145</v>
      </c>
      <c r="D138" s="59" cm="1">
        <f t="array" aca="1" ref="D138" ca="1">IF(ISNUMBER(_xll.VoseSimMean(With_88)),_xll.VoseSimMean(With_88),NA())</f>
        <v>141.79278963948198</v>
      </c>
    </row>
    <row r="139" spans="2:4" hidden="1" outlineLevel="1" x14ac:dyDescent="0.45">
      <c r="B139" s="58" t="s">
        <v>257</v>
      </c>
      <c r="C139" s="59" cm="1">
        <f t="array" aca="1" ref="C139" ca="1">IF(ISNUMBER(_xll.VoseSimMean(Without_89)),_xll.VoseSimMean(Without_89),NA())</f>
        <v>203.6052802640132</v>
      </c>
      <c r="D139" s="59" cm="1">
        <f t="array" aca="1" ref="D139" ca="1">IF(ISNUMBER(_xll.VoseSimMean(With_89)),_xll.VoseSimMean(With_89),NA())</f>
        <v>142.37546877343868</v>
      </c>
    </row>
    <row r="140" spans="2:4" hidden="1" outlineLevel="1" x14ac:dyDescent="0.45">
      <c r="B140" s="58" t="s">
        <v>258</v>
      </c>
      <c r="C140" s="59" cm="1">
        <f t="array" aca="1" ref="C140" ca="1">IF(ISNUMBER(_xll.VoseSimMean(Without_90)),_xll.VoseSimMean(Without_90),NA())</f>
        <v>205.09680484024202</v>
      </c>
      <c r="D140" s="59" cm="1">
        <f t="array" aca="1" ref="D140" ca="1">IF(ISNUMBER(_xll.VoseSimMean(With_90)),_xll.VoseSimMean(With_90),NA())</f>
        <v>143.69013450672534</v>
      </c>
    </row>
    <row r="141" spans="2:4" hidden="1" outlineLevel="1" x14ac:dyDescent="0.45">
      <c r="B141" s="58" t="s">
        <v>259</v>
      </c>
      <c r="C141" s="59" cm="1">
        <f t="array" aca="1" ref="C141" ca="1">IF(ISNUMBER(_xll.VoseSimMean(Without_91)),_xll.VoseSimMean(Without_91),NA())</f>
        <v>206.6178808940447</v>
      </c>
      <c r="D141" s="59" cm="1">
        <f t="array" aca="1" ref="D141" ca="1">IF(ISNUMBER(_xll.VoseSimMean(With_91)),_xll.VoseSimMean(With_91),NA())</f>
        <v>144.62033101655084</v>
      </c>
    </row>
    <row r="142" spans="2:4" hidden="1" outlineLevel="1" x14ac:dyDescent="0.45">
      <c r="B142" s="58" t="s">
        <v>260</v>
      </c>
      <c r="C142" s="59" cm="1">
        <f t="array" aca="1" ref="C142" ca="1">IF(ISNUMBER(_xll.VoseSimMean(Without_92)),_xll.VoseSimMean(Without_92),NA())</f>
        <v>207.72328616430821</v>
      </c>
      <c r="D142" s="59" cm="1">
        <f t="array" aca="1" ref="D142" ca="1">IF(ISNUMBER(_xll.VoseSimMean(With_92)),_xll.VoseSimMean(With_92),NA())</f>
        <v>145.34351717585881</v>
      </c>
    </row>
    <row r="143" spans="2:4" hidden="1" outlineLevel="1" x14ac:dyDescent="0.45">
      <c r="B143" s="58" t="s">
        <v>261</v>
      </c>
      <c r="C143" s="59" cm="1">
        <f t="array" aca="1" ref="C143" ca="1">IF(ISNUMBER(_xll.VoseSimMean(Without_93)),_xll.VoseSimMean(Without_93),NA())</f>
        <v>208.89934496724837</v>
      </c>
      <c r="D143" s="59" cm="1">
        <f t="array" aca="1" ref="D143" ca="1">IF(ISNUMBER(_xll.VoseSimMean(With_93)),_xll.VoseSimMean(With_93),NA())</f>
        <v>146.17410870543526</v>
      </c>
    </row>
    <row r="144" spans="2:4" hidden="1" outlineLevel="1" x14ac:dyDescent="0.45">
      <c r="B144" s="58" t="s">
        <v>262</v>
      </c>
      <c r="C144" s="59" cm="1">
        <f t="array" aca="1" ref="C144" ca="1">IF(ISNUMBER(_xll.VoseSimMean(Without_94)),_xll.VoseSimMean(Without_94),NA())</f>
        <v>210.12080604030203</v>
      </c>
      <c r="D144" s="59" cm="1">
        <f t="array" aca="1" ref="D144" ca="1">IF(ISNUMBER(_xll.VoseSimMean(With_94)),_xll.VoseSimMean(With_94),NA())</f>
        <v>147.09325466273313</v>
      </c>
    </row>
    <row r="145" spans="2:7" hidden="1" outlineLevel="1" x14ac:dyDescent="0.45">
      <c r="B145" s="58" t="s">
        <v>263</v>
      </c>
      <c r="C145" s="59" cm="1">
        <f t="array" aca="1" ref="C145" ca="1">IF(ISNUMBER(_xll.VoseSimMean(Without_95)),_xll.VoseSimMean(Without_95),NA())</f>
        <v>211.43292164608229</v>
      </c>
      <c r="D145" s="59" cm="1">
        <f t="array" aca="1" ref="D145" ca="1">IF(ISNUMBER(_xll.VoseSimMean(With_95)),_xll.VoseSimMean(With_95),NA())</f>
        <v>148.00975048752437</v>
      </c>
    </row>
    <row r="146" spans="2:7" hidden="1" outlineLevel="1" x14ac:dyDescent="0.45">
      <c r="B146" s="58" t="s">
        <v>264</v>
      </c>
      <c r="C146" s="59" cm="1">
        <f t="array" aca="1" ref="C146" ca="1">IF(ISNUMBER(_xll.VoseSimMean(Without_96)),_xll.VoseSimMean(Without_96),NA())</f>
        <v>212.67338366918347</v>
      </c>
      <c r="D146" s="59" cm="1">
        <f t="array" aca="1" ref="D146" ca="1">IF(ISNUMBER(_xll.VoseSimMean(With_96)),_xll.VoseSimMean(With_96),NA())</f>
        <v>148.90474523726186</v>
      </c>
    </row>
    <row r="147" spans="2:7" hidden="1" outlineLevel="1" x14ac:dyDescent="0.45">
      <c r="B147" s="58" t="s">
        <v>265</v>
      </c>
      <c r="C147" s="59" cm="1">
        <f t="array" aca="1" ref="C147" ca="1">IF(ISNUMBER(_xll.VoseSimMean(Without_97)),_xll.VoseSimMean(Without_97),NA())</f>
        <v>214.19670983549179</v>
      </c>
      <c r="D147" s="59" cm="1">
        <f t="array" aca="1" ref="D147" ca="1">IF(ISNUMBER(_xll.VoseSimMean(With_97)),_xll.VoseSimMean(With_97),NA())</f>
        <v>149.91819590979549</v>
      </c>
    </row>
    <row r="148" spans="2:7" hidden="1" outlineLevel="1" x14ac:dyDescent="0.45">
      <c r="B148" s="58" t="s">
        <v>266</v>
      </c>
      <c r="C148" s="59" cm="1">
        <f t="array" aca="1" ref="C148" ca="1">IF(ISNUMBER(_xll.VoseSimMean(Without_98)),_xll.VoseSimMean(Without_98),NA())</f>
        <v>215.47172358617931</v>
      </c>
      <c r="D148" s="59" cm="1">
        <f t="array" aca="1" ref="D148" ca="1">IF(ISNUMBER(_xll.VoseSimMean(With_98)),_xll.VoseSimMean(With_98),NA())</f>
        <v>150.8346417320866</v>
      </c>
    </row>
    <row r="149" spans="2:7" hidden="1" outlineLevel="1" x14ac:dyDescent="0.45">
      <c r="B149" s="58" t="s">
        <v>267</v>
      </c>
      <c r="C149" s="59" cm="1">
        <f t="array" aca="1" ref="C149" ca="1">IF(ISNUMBER(_xll.VoseSimMean(Without_99)),_xll.VoseSimMean(Without_99),NA())</f>
        <v>216.50447522376118</v>
      </c>
      <c r="D149" s="59" cm="1">
        <f t="array" aca="1" ref="D149" ca="1">IF(ISNUMBER(_xll.VoseSimMean(With_99)),_xll.VoseSimMean(With_99),NA())</f>
        <v>151.52622631131555</v>
      </c>
    </row>
    <row r="150" spans="2:7" hidden="1" outlineLevel="1" x14ac:dyDescent="0.45">
      <c r="B150" s="58" t="s">
        <v>268</v>
      </c>
      <c r="C150" s="59" cm="1">
        <f t="array" aca="1" ref="C150" ca="1">IF(ISNUMBER(_xll.VoseSimMean(Without_100)),_xll.VoseSimMean(Without_100),NA())</f>
        <v>217.96899844992251</v>
      </c>
      <c r="D150" s="59" cm="1">
        <f t="array" aca="1" ref="D150" ca="1">IF(ISNUMBER(_xll.VoseSimMean(With_100)),_xll.VoseSimMean(With_100),NA())</f>
        <v>152.57677883894195</v>
      </c>
    </row>
    <row r="151" spans="2:7" hidden="1" outlineLevel="1" x14ac:dyDescent="0.45"/>
    <row r="152" spans="2:7" ht="28.05" hidden="1" customHeight="1" outlineLevel="1" x14ac:dyDescent="0.45">
      <c r="B152" s="23" t="s">
        <v>166</v>
      </c>
      <c r="C152" s="24" t="s">
        <v>269</v>
      </c>
      <c r="D152" s="24" t="s">
        <v>153</v>
      </c>
      <c r="E152" s="24" t="s">
        <v>270</v>
      </c>
      <c r="F152" s="24" t="s">
        <v>155</v>
      </c>
      <c r="G152" s="5"/>
    </row>
    <row r="153" spans="2:7" hidden="1" outlineLevel="1" x14ac:dyDescent="0.45">
      <c r="B153" s="58" t="s">
        <v>169</v>
      </c>
      <c r="C153" s="59" cm="1">
        <f t="array" aca="1" ref="C153" ca="1">IF(ISNUMBER(_xll.VoseSimPercentile(With_1,0.1)),_xll.VoseSimPercentile(With_1,0.1),NA())</f>
        <v>77</v>
      </c>
      <c r="D153" s="59" cm="1">
        <f t="array" aca="1" ref="D153" ca="1">IF(ISNUMBER(_xll.VoseSimPercentile(With_1,0.5)),_xll.VoseSimPercentile(With_1,0.5),NA())</f>
        <v>89</v>
      </c>
      <c r="E153" s="59" cm="1">
        <f t="array" aca="1" ref="E153" ca="1">IF(ISNUMBER(_xll.VoseSimPercentile(With_1,0.9)),_xll.VoseSimPercentile(With_1,0.9),NA())</f>
        <v>102</v>
      </c>
      <c r="F153" s="59" cm="1">
        <f t="array" aca="1" ref="F153" ca="1">IF(ISNUMBER(_xll.VoseSimMean(With_1)),_xll.VoseSimMean(With_1),NA())</f>
        <v>89.137556877843892</v>
      </c>
    </row>
    <row r="154" spans="2:7" hidden="1" outlineLevel="1" x14ac:dyDescent="0.45">
      <c r="B154" s="58" t="s">
        <v>170</v>
      </c>
      <c r="C154" s="59" cm="1">
        <f t="array" aca="1" ref="C154" ca="1">IF(ISNUMBER(_xll.VoseSimPercentile(With_2,0.1)),_xll.VoseSimPercentile(With_2,0.1),NA())</f>
        <v>78</v>
      </c>
      <c r="D154" s="59" cm="1">
        <f t="array" aca="1" ref="D154" ca="1">IF(ISNUMBER(_xll.VoseSimPercentile(With_2,0.5)),_xll.VoseSimPercentile(With_2,0.5),NA())</f>
        <v>91</v>
      </c>
      <c r="E154" s="59" cm="1">
        <f t="array" aca="1" ref="E154" ca="1">IF(ISNUMBER(_xll.VoseSimPercentile(With_2,0.9)),_xll.VoseSimPercentile(With_2,0.9),NA())</f>
        <v>103</v>
      </c>
      <c r="F154" s="59" cm="1">
        <f t="array" aca="1" ref="F154" ca="1">IF(ISNUMBER(_xll.VoseSimMean(With_2)),_xll.VoseSimMean(With_2),NA())</f>
        <v>90.647132356617831</v>
      </c>
    </row>
    <row r="155" spans="2:7" hidden="1" outlineLevel="1" x14ac:dyDescent="0.45">
      <c r="B155" s="58" t="s">
        <v>171</v>
      </c>
      <c r="C155" s="59" cm="1">
        <f t="array" aca="1" ref="C155" ca="1">IF(ISNUMBER(_xll.VoseSimPercentile(With_3,0.1)),_xll.VoseSimPercentile(With_3,0.1),NA())</f>
        <v>80</v>
      </c>
      <c r="D155" s="59" cm="1">
        <f t="array" aca="1" ref="D155" ca="1">IF(ISNUMBER(_xll.VoseSimPercentile(With_3,0.5)),_xll.VoseSimPercentile(With_3,0.5),NA())</f>
        <v>92</v>
      </c>
      <c r="E155" s="59" cm="1">
        <f t="array" aca="1" ref="E155" ca="1">IF(ISNUMBER(_xll.VoseSimPercentile(With_3,0.9)),_xll.VoseSimPercentile(With_3,0.9),NA())</f>
        <v>105</v>
      </c>
      <c r="F155" s="59" cm="1">
        <f t="array" aca="1" ref="F155" ca="1">IF(ISNUMBER(_xll.VoseSimMean(With_3)),_xll.VoseSimMean(With_3),NA())</f>
        <v>92.047002350117509</v>
      </c>
    </row>
    <row r="156" spans="2:7" hidden="1" outlineLevel="1" x14ac:dyDescent="0.45">
      <c r="B156" s="58" t="s">
        <v>172</v>
      </c>
      <c r="C156" s="59" cm="1">
        <f t="array" aca="1" ref="C156" ca="1">IF(ISNUMBER(_xll.VoseSimPercentile(With_4,0.1)),_xll.VoseSimPercentile(With_4,0.1),NA())</f>
        <v>81</v>
      </c>
      <c r="D156" s="59" cm="1">
        <f t="array" aca="1" ref="D156" ca="1">IF(ISNUMBER(_xll.VoseSimPercentile(With_4,0.5)),_xll.VoseSimPercentile(With_4,0.5),NA())</f>
        <v>93</v>
      </c>
      <c r="E156" s="59" cm="1">
        <f t="array" aca="1" ref="E156" ca="1">IF(ISNUMBER(_xll.VoseSimPercentile(With_4,0.9)),_xll.VoseSimPercentile(With_4,0.9),NA())</f>
        <v>106</v>
      </c>
      <c r="F156" s="59" cm="1">
        <f t="array" aca="1" ref="F156" ca="1">IF(ISNUMBER(_xll.VoseSimMean(With_4)),_xll.VoseSimMean(With_4),NA())</f>
        <v>93.095954797739893</v>
      </c>
    </row>
    <row r="157" spans="2:7" hidden="1" outlineLevel="1" x14ac:dyDescent="0.45">
      <c r="B157" s="58" t="s">
        <v>173</v>
      </c>
      <c r="C157" s="59" cm="1">
        <f t="array" aca="1" ref="C157" ca="1">IF(ISNUMBER(_xll.VoseSimPercentile(With_5,0.1)),_xll.VoseSimPercentile(With_5,0.1),NA())</f>
        <v>82</v>
      </c>
      <c r="D157" s="59" cm="1">
        <f t="array" aca="1" ref="D157" ca="1">IF(ISNUMBER(_xll.VoseSimPercentile(With_5,0.5)),_xll.VoseSimPercentile(With_5,0.5),NA())</f>
        <v>94</v>
      </c>
      <c r="E157" s="59" cm="1">
        <f t="array" aca="1" ref="E157" ca="1">IF(ISNUMBER(_xll.VoseSimPercentile(With_5,0.9)),_xll.VoseSimPercentile(With_5,0.9),NA())</f>
        <v>107</v>
      </c>
      <c r="F157" s="59" cm="1">
        <f t="array" aca="1" ref="F157" ca="1">IF(ISNUMBER(_xll.VoseSimMean(With_5)),_xll.VoseSimMean(With_5),NA())</f>
        <v>94.308615430771539</v>
      </c>
    </row>
    <row r="158" spans="2:7" hidden="1" outlineLevel="1" x14ac:dyDescent="0.45">
      <c r="B158" s="58" t="s">
        <v>174</v>
      </c>
      <c r="C158" s="59" cm="1">
        <f t="array" aca="1" ref="C158" ca="1">IF(ISNUMBER(_xll.VoseSimPercentile(With_6,0.1)),_xll.VoseSimPercentile(With_6,0.1),NA())</f>
        <v>84</v>
      </c>
      <c r="D158" s="59" cm="1">
        <f t="array" aca="1" ref="D158" ca="1">IF(ISNUMBER(_xll.VoseSimPercentile(With_6,0.5)),_xll.VoseSimPercentile(With_6,0.5),NA())</f>
        <v>95</v>
      </c>
      <c r="E158" s="59" cm="1">
        <f t="array" aca="1" ref="E158" ca="1">IF(ISNUMBER(_xll.VoseSimPercentile(With_6,0.9)),_xll.VoseSimPercentile(With_6,0.9),NA())</f>
        <v>108</v>
      </c>
      <c r="F158" s="59" cm="1">
        <f t="array" aca="1" ref="F158" ca="1">IF(ISNUMBER(_xll.VoseSimMean(With_6)),_xll.VoseSimMean(With_6),NA())</f>
        <v>95.74718735936797</v>
      </c>
    </row>
    <row r="159" spans="2:7" hidden="1" outlineLevel="1" x14ac:dyDescent="0.45">
      <c r="B159" s="58" t="s">
        <v>175</v>
      </c>
      <c r="C159" s="59" cm="1">
        <f t="array" aca="1" ref="C159" ca="1">IF(ISNUMBER(_xll.VoseSimPercentile(With_7,0.1)),_xll.VoseSimPercentile(With_7,0.1),NA())</f>
        <v>85</v>
      </c>
      <c r="D159" s="59" cm="1">
        <f t="array" aca="1" ref="D159" ca="1">IF(ISNUMBER(_xll.VoseSimPercentile(With_7,0.5)),_xll.VoseSimPercentile(With_7,0.5),NA())</f>
        <v>97</v>
      </c>
      <c r="E159" s="59" cm="1">
        <f t="array" aca="1" ref="E159" ca="1">IF(ISNUMBER(_xll.VoseSimPercentile(With_7,0.9)),_xll.VoseSimPercentile(With_7,0.9),NA())</f>
        <v>110</v>
      </c>
      <c r="F159" s="59" cm="1">
        <f t="array" aca="1" ref="F159" ca="1">IF(ISNUMBER(_xll.VoseSimMean(With_7)),_xll.VoseSimMean(With_7),NA())</f>
        <v>97.268513425671287</v>
      </c>
    </row>
    <row r="160" spans="2:7" hidden="1" outlineLevel="1" x14ac:dyDescent="0.45">
      <c r="B160" s="58" t="s">
        <v>176</v>
      </c>
      <c r="C160" s="59" cm="1">
        <f t="array" aca="1" ref="C160" ca="1">IF(ISNUMBER(_xll.VoseSimPercentile(With_8,0.1)),_xll.VoseSimPercentile(With_8,0.1),NA())</f>
        <v>86</v>
      </c>
      <c r="D160" s="59" cm="1">
        <f t="array" aca="1" ref="D160" ca="1">IF(ISNUMBER(_xll.VoseSimPercentile(With_8,0.5)),_xll.VoseSimPercentile(With_8,0.5),NA())</f>
        <v>98</v>
      </c>
      <c r="E160" s="59" cm="1">
        <f t="array" aca="1" ref="E160" ca="1">IF(ISNUMBER(_xll.VoseSimPercentile(With_8,0.9)),_xll.VoseSimPercentile(With_8,0.9),NA())</f>
        <v>111</v>
      </c>
      <c r="F160" s="59" cm="1">
        <f t="array" aca="1" ref="F160" ca="1">IF(ISNUMBER(_xll.VoseSimMean(With_8)),_xll.VoseSimMean(With_8),NA())</f>
        <v>98.498874943747182</v>
      </c>
    </row>
    <row r="161" spans="2:6" hidden="1" outlineLevel="1" x14ac:dyDescent="0.45">
      <c r="B161" s="58" t="s">
        <v>177</v>
      </c>
      <c r="C161" s="59" cm="1">
        <f t="array" aca="1" ref="C161" ca="1">IF(ISNUMBER(_xll.VoseSimPercentile(With_9,0.1)),_xll.VoseSimPercentile(With_9,0.1),NA())</f>
        <v>87</v>
      </c>
      <c r="D161" s="59" cm="1">
        <f t="array" aca="1" ref="D161" ca="1">IF(ISNUMBER(_xll.VoseSimPercentile(With_9,0.5)),_xll.VoseSimPercentile(With_9,0.5),NA())</f>
        <v>99</v>
      </c>
      <c r="E161" s="59" cm="1">
        <f t="array" aca="1" ref="E161" ca="1">IF(ISNUMBER(_xll.VoseSimPercentile(With_9,0.9)),_xll.VoseSimPercentile(With_9,0.9),NA())</f>
        <v>112</v>
      </c>
      <c r="F161" s="59" cm="1">
        <f t="array" aca="1" ref="F161" ca="1">IF(ISNUMBER(_xll.VoseSimMean(With_9)),_xll.VoseSimMean(With_9),NA())</f>
        <v>99.524226211310562</v>
      </c>
    </row>
    <row r="162" spans="2:6" hidden="1" outlineLevel="1" x14ac:dyDescent="0.45">
      <c r="B162" s="58" t="s">
        <v>178</v>
      </c>
      <c r="C162" s="59" cm="1">
        <f t="array" aca="1" ref="C162" ca="1">IF(ISNUMBER(_xll.VoseSimPercentile(With_10,0.1)),_xll.VoseSimPercentile(With_10,0.1),NA())</f>
        <v>88</v>
      </c>
      <c r="D162" s="59" cm="1">
        <f t="array" aca="1" ref="D162" ca="1">IF(ISNUMBER(_xll.VoseSimPercentile(With_10,0.5)),_xll.VoseSimPercentile(With_10,0.5),NA())</f>
        <v>101</v>
      </c>
      <c r="E162" s="59" cm="1">
        <f t="array" aca="1" ref="E162" ca="1">IF(ISNUMBER(_xll.VoseSimPercentile(With_10,0.9)),_xll.VoseSimPercentile(With_10,0.9),NA())</f>
        <v>114</v>
      </c>
      <c r="F162" s="59" cm="1">
        <f t="array" aca="1" ref="F162" ca="1">IF(ISNUMBER(_xll.VoseSimMean(With_10)),_xll.VoseSimMean(With_10),NA())</f>
        <v>101.15150757537877</v>
      </c>
    </row>
    <row r="163" spans="2:6" hidden="1" outlineLevel="1" x14ac:dyDescent="0.45">
      <c r="B163" s="58" t="s">
        <v>179</v>
      </c>
      <c r="C163" s="59" cm="1">
        <f t="array" aca="1" ref="C163" ca="1">IF(ISNUMBER(_xll.VoseSimPercentile(With_11,0.1)),_xll.VoseSimPercentile(With_11,0.1),NA())</f>
        <v>89</v>
      </c>
      <c r="D163" s="59" cm="1">
        <f t="array" aca="1" ref="D163" ca="1">IF(ISNUMBER(_xll.VoseSimPercentile(With_11,0.5)),_xll.VoseSimPercentile(With_11,0.5),NA())</f>
        <v>102</v>
      </c>
      <c r="E163" s="59" cm="1">
        <f t="array" aca="1" ref="E163" ca="1">IF(ISNUMBER(_xll.VoseSimPercentile(With_11,0.9)),_xll.VoseSimPercentile(With_11,0.9),NA())</f>
        <v>115</v>
      </c>
      <c r="F163" s="59" cm="1">
        <f t="array" aca="1" ref="F163" ca="1">IF(ISNUMBER(_xll.VoseSimMean(With_11)),_xll.VoseSimMean(With_11),NA())</f>
        <v>102.31621581079054</v>
      </c>
    </row>
    <row r="164" spans="2:6" hidden="1" outlineLevel="1" x14ac:dyDescent="0.45">
      <c r="B164" s="58" t="s">
        <v>180</v>
      </c>
      <c r="C164" s="59" cm="1">
        <f t="array" aca="1" ref="C164" ca="1">IF(ISNUMBER(_xll.VoseSimPercentile(With_12,0.1)),_xll.VoseSimPercentile(With_12,0.1),NA())</f>
        <v>90</v>
      </c>
      <c r="D164" s="59" cm="1">
        <f t="array" aca="1" ref="D164" ca="1">IF(ISNUMBER(_xll.VoseSimPercentile(With_12,0.5)),_xll.VoseSimPercentile(With_12,0.5),NA())</f>
        <v>103</v>
      </c>
      <c r="E164" s="59" cm="1">
        <f t="array" aca="1" ref="E164" ca="1">IF(ISNUMBER(_xll.VoseSimPercentile(With_12,0.9)),_xll.VoseSimPercentile(With_12,0.9),NA())</f>
        <v>117</v>
      </c>
      <c r="F164" s="59" cm="1">
        <f t="array" aca="1" ref="F164" ca="1">IF(ISNUMBER(_xll.VoseSimMean(With_12)),_xll.VoseSimMean(With_12),NA())</f>
        <v>103.47547377368869</v>
      </c>
    </row>
    <row r="165" spans="2:6" hidden="1" outlineLevel="1" x14ac:dyDescent="0.45">
      <c r="B165" s="58" t="s">
        <v>181</v>
      </c>
      <c r="C165" s="59" cm="1">
        <f t="array" aca="1" ref="C165" ca="1">IF(ISNUMBER(_xll.VoseSimPercentile(With_13,0.1)),_xll.VoseSimPercentile(With_13,0.1),NA())</f>
        <v>92</v>
      </c>
      <c r="D165" s="59" cm="1">
        <f t="array" aca="1" ref="D165" ca="1">IF(ISNUMBER(_xll.VoseSimPercentile(With_13,0.5)),_xll.VoseSimPercentile(With_13,0.5),NA())</f>
        <v>105</v>
      </c>
      <c r="E165" s="59" cm="1">
        <f t="array" aca="1" ref="E165" ca="1">IF(ISNUMBER(_xll.VoseSimPercentile(With_13,0.9)),_xll.VoseSimPercentile(With_13,0.9),NA())</f>
        <v>118</v>
      </c>
      <c r="F165" s="59" cm="1">
        <f t="array" aca="1" ref="F165" ca="1">IF(ISNUMBER(_xll.VoseSimMean(With_13)),_xll.VoseSimMean(With_13),NA())</f>
        <v>105.01455072753637</v>
      </c>
    </row>
    <row r="166" spans="2:6" hidden="1" outlineLevel="1" x14ac:dyDescent="0.45">
      <c r="B166" s="58" t="s">
        <v>182</v>
      </c>
      <c r="C166" s="59" cm="1">
        <f t="array" aca="1" ref="C166" ca="1">IF(ISNUMBER(_xll.VoseSimPercentile(With_14,0.1)),_xll.VoseSimPercentile(With_14,0.1),NA())</f>
        <v>93</v>
      </c>
      <c r="D166" s="59" cm="1">
        <f t="array" aca="1" ref="D166" ca="1">IF(ISNUMBER(_xll.VoseSimPercentile(With_14,0.5)),_xll.VoseSimPercentile(With_14,0.5),NA())</f>
        <v>106</v>
      </c>
      <c r="E166" s="59" cm="1">
        <f t="array" aca="1" ref="E166" ca="1">IF(ISNUMBER(_xll.VoseSimPercentile(With_14,0.9)),_xll.VoseSimPercentile(With_14,0.9),NA())</f>
        <v>120</v>
      </c>
      <c r="F166" s="59" cm="1">
        <f t="array" aca="1" ref="F166" ca="1">IF(ISNUMBER(_xll.VoseSimMean(With_14)),_xll.VoseSimMean(With_14),NA())</f>
        <v>106.17310865543277</v>
      </c>
    </row>
    <row r="167" spans="2:6" hidden="1" outlineLevel="1" x14ac:dyDescent="0.45">
      <c r="B167" s="58" t="s">
        <v>183</v>
      </c>
      <c r="C167" s="59" cm="1">
        <f t="array" aca="1" ref="C167" ca="1">IF(ISNUMBER(_xll.VoseSimPercentile(With_15,0.1)),_xll.VoseSimPercentile(With_15,0.1),NA())</f>
        <v>94</v>
      </c>
      <c r="D167" s="59" cm="1">
        <f t="array" aca="1" ref="D167" ca="1">IF(ISNUMBER(_xll.VoseSimPercentile(With_15,0.5)),_xll.VoseSimPercentile(With_15,0.5),NA())</f>
        <v>108</v>
      </c>
      <c r="E167" s="59" cm="1">
        <f t="array" aca="1" ref="E167" ca="1">IF(ISNUMBER(_xll.VoseSimPercentile(With_15,0.9)),_xll.VoseSimPercentile(With_15,0.9),NA())</f>
        <v>121</v>
      </c>
      <c r="F167" s="59" cm="1">
        <f t="array" aca="1" ref="F167" ca="1">IF(ISNUMBER(_xll.VoseSimMean(With_15)),_xll.VoseSimMean(With_15),NA())</f>
        <v>107.58432921646083</v>
      </c>
    </row>
    <row r="168" spans="2:6" hidden="1" outlineLevel="1" x14ac:dyDescent="0.45">
      <c r="B168" s="58" t="s">
        <v>184</v>
      </c>
      <c r="C168" s="59" cm="1">
        <f t="array" aca="1" ref="C168" ca="1">IF(ISNUMBER(_xll.VoseSimPercentile(With_16,0.1)),_xll.VoseSimPercentile(With_16,0.1),NA())</f>
        <v>96</v>
      </c>
      <c r="D168" s="59" cm="1">
        <f t="array" aca="1" ref="D168" ca="1">IF(ISNUMBER(_xll.VoseSimPercentile(With_16,0.5)),_xll.VoseSimPercentile(With_16,0.5),NA())</f>
        <v>109</v>
      </c>
      <c r="E168" s="59" cm="1">
        <f t="array" aca="1" ref="E168" ca="1">IF(ISNUMBER(_xll.VoseSimPercentile(With_16,0.9)),_xll.VoseSimPercentile(With_16,0.9),NA())</f>
        <v>122</v>
      </c>
      <c r="F168" s="59" cm="1">
        <f t="array" aca="1" ref="F168" ca="1">IF(ISNUMBER(_xll.VoseSimMean(With_16)),_xll.VoseSimMean(With_16),NA())</f>
        <v>108.85034251712585</v>
      </c>
    </row>
    <row r="169" spans="2:6" hidden="1" outlineLevel="1" x14ac:dyDescent="0.45">
      <c r="B169" s="58" t="s">
        <v>185</v>
      </c>
      <c r="C169" s="59" cm="1">
        <f t="array" aca="1" ref="C169" ca="1">IF(ISNUMBER(_xll.VoseSimPercentile(With_17,0.1)),_xll.VoseSimPercentile(With_17,0.1),NA())</f>
        <v>97</v>
      </c>
      <c r="D169" s="59" cm="1">
        <f t="array" aca="1" ref="D169" ca="1">IF(ISNUMBER(_xll.VoseSimPercentile(With_17,0.5)),_xll.VoseSimPercentile(With_17,0.5),NA())</f>
        <v>110</v>
      </c>
      <c r="E169" s="59" cm="1">
        <f t="array" aca="1" ref="E169" ca="1">IF(ISNUMBER(_xll.VoseSimPercentile(With_17,0.9)),_xll.VoseSimPercentile(With_17,0.9),NA())</f>
        <v>123</v>
      </c>
      <c r="F169" s="59" cm="1">
        <f t="array" aca="1" ref="F169" ca="1">IF(ISNUMBER(_xll.VoseSimMean(With_17)),_xll.VoseSimMean(With_17),NA())</f>
        <v>110.09550477523877</v>
      </c>
    </row>
    <row r="170" spans="2:6" hidden="1" outlineLevel="1" x14ac:dyDescent="0.45">
      <c r="B170" s="58" t="s">
        <v>186</v>
      </c>
      <c r="C170" s="59" cm="1">
        <f t="array" aca="1" ref="C170" ca="1">IF(ISNUMBER(_xll.VoseSimPercentile(With_18,0.1)),_xll.VoseSimPercentile(With_18,0.1),NA())</f>
        <v>98</v>
      </c>
      <c r="D170" s="59" cm="1">
        <f t="array" aca="1" ref="D170" ca="1">IF(ISNUMBER(_xll.VoseSimPercentile(With_18,0.5)),_xll.VoseSimPercentile(With_18,0.5),NA())</f>
        <v>111</v>
      </c>
      <c r="E170" s="59" cm="1">
        <f t="array" aca="1" ref="E170" ca="1">IF(ISNUMBER(_xll.VoseSimPercentile(With_18,0.9)),_xll.VoseSimPercentile(With_18,0.9),NA())</f>
        <v>125</v>
      </c>
      <c r="F170" s="59" cm="1">
        <f t="array" aca="1" ref="F170" ca="1">IF(ISNUMBER(_xll.VoseSimMean(With_18)),_xll.VoseSimMean(With_18),NA())</f>
        <v>111.45327266363319</v>
      </c>
    </row>
    <row r="171" spans="2:6" hidden="1" outlineLevel="1" x14ac:dyDescent="0.45">
      <c r="B171" s="58" t="s">
        <v>187</v>
      </c>
      <c r="C171" s="59" cm="1">
        <f t="array" aca="1" ref="C171" ca="1">IF(ISNUMBER(_xll.VoseSimPercentile(With_19,0.1)),_xll.VoseSimPercentile(With_19,0.1),NA())</f>
        <v>99</v>
      </c>
      <c r="D171" s="59" cm="1">
        <f t="array" aca="1" ref="D171" ca="1">IF(ISNUMBER(_xll.VoseSimPercentile(With_19,0.5)),_xll.VoseSimPercentile(With_19,0.5),NA())</f>
        <v>113</v>
      </c>
      <c r="E171" s="59" cm="1">
        <f t="array" aca="1" ref="E171" ca="1">IF(ISNUMBER(_xll.VoseSimPercentile(With_19,0.9)),_xll.VoseSimPercentile(With_19,0.9),NA())</f>
        <v>126</v>
      </c>
      <c r="F171" s="59" cm="1">
        <f t="array" aca="1" ref="F171" ca="1">IF(ISNUMBER(_xll.VoseSimMean(With_19)),_xll.VoseSimMean(With_19),NA())</f>
        <v>112.72378618930946</v>
      </c>
    </row>
    <row r="172" spans="2:6" hidden="1" outlineLevel="1" x14ac:dyDescent="0.45">
      <c r="B172" s="58" t="s">
        <v>188</v>
      </c>
      <c r="C172" s="59" cm="1">
        <f t="array" aca="1" ref="C172" ca="1">IF(ISNUMBER(_xll.VoseSimPercentile(With_20,0.1)),_xll.VoseSimPercentile(With_20,0.1),NA())</f>
        <v>98</v>
      </c>
      <c r="D172" s="59" cm="1">
        <f t="array" aca="1" ref="D172" ca="1">IF(ISNUMBER(_xll.VoseSimPercentile(With_20,0.5)),_xll.VoseSimPercentile(With_20,0.5),NA())</f>
        <v>113</v>
      </c>
      <c r="E172" s="59" cm="1">
        <f t="array" aca="1" ref="E172" ca="1">IF(ISNUMBER(_xll.VoseSimPercentile(With_20,0.9)),_xll.VoseSimPercentile(With_20,0.9),NA())</f>
        <v>128</v>
      </c>
      <c r="F172" s="59" cm="1">
        <f t="array" aca="1" ref="F172" ca="1">IF(ISNUMBER(_xll.VoseSimMean(With_20)),_xll.VoseSimMean(With_20),NA())</f>
        <v>112.9449972498625</v>
      </c>
    </row>
    <row r="173" spans="2:6" hidden="1" outlineLevel="1" x14ac:dyDescent="0.45">
      <c r="B173" s="58" t="s">
        <v>189</v>
      </c>
      <c r="C173" s="59" cm="1">
        <f t="array" aca="1" ref="C173" ca="1">IF(ISNUMBER(_xll.VoseSimPercentile(With_21,0.1)),_xll.VoseSimPercentile(With_21,0.1),NA())</f>
        <v>97</v>
      </c>
      <c r="D173" s="59" cm="1">
        <f t="array" aca="1" ref="D173" ca="1">IF(ISNUMBER(_xll.VoseSimPercentile(With_21,0.5)),_xll.VoseSimPercentile(With_21,0.5),NA())</f>
        <v>114</v>
      </c>
      <c r="E173" s="59" cm="1">
        <f t="array" aca="1" ref="E173" ca="1">IF(ISNUMBER(_xll.VoseSimPercentile(With_21,0.9)),_xll.VoseSimPercentile(With_21,0.9),NA())</f>
        <v>128</v>
      </c>
      <c r="F173" s="59" cm="1">
        <f t="array" aca="1" ref="F173" ca="1">IF(ISNUMBER(_xll.VoseSimMean(With_21)),_xll.VoseSimMean(With_21),NA())</f>
        <v>112.98674933746688</v>
      </c>
    </row>
    <row r="174" spans="2:6" hidden="1" outlineLevel="1" x14ac:dyDescent="0.45">
      <c r="B174" s="58" t="s">
        <v>190</v>
      </c>
      <c r="C174" s="59" cm="1">
        <f t="array" aca="1" ref="C174" ca="1">IF(ISNUMBER(_xll.VoseSimPercentile(With_22,0.1)),_xll.VoseSimPercentile(With_22,0.1),NA())</f>
        <v>93</v>
      </c>
      <c r="D174" s="59" cm="1">
        <f t="array" aca="1" ref="D174" ca="1">IF(ISNUMBER(_xll.VoseSimPercentile(With_22,0.5)),_xll.VoseSimPercentile(With_22,0.5),NA())</f>
        <v>115</v>
      </c>
      <c r="E174" s="59" cm="1">
        <f t="array" aca="1" ref="E174" ca="1">IF(ISNUMBER(_xll.VoseSimPercentile(With_22,0.9)),_xll.VoseSimPercentile(With_22,0.9),NA())</f>
        <v>130</v>
      </c>
      <c r="F174" s="59" cm="1">
        <f t="array" aca="1" ref="F174" ca="1">IF(ISNUMBER(_xll.VoseSimMean(With_22)),_xll.VoseSimMean(With_22),NA())</f>
        <v>113.24991249562478</v>
      </c>
    </row>
    <row r="175" spans="2:6" hidden="1" outlineLevel="1" x14ac:dyDescent="0.45">
      <c r="B175" s="58" t="s">
        <v>191</v>
      </c>
      <c r="C175" s="59" cm="1">
        <f t="array" aca="1" ref="C175" ca="1">IF(ISNUMBER(_xll.VoseSimPercentile(With_23,0.1)),_xll.VoseSimPercentile(With_23,0.1),NA())</f>
        <v>89</v>
      </c>
      <c r="D175" s="59" cm="1">
        <f t="array" aca="1" ref="D175" ca="1">IF(ISNUMBER(_xll.VoseSimPercentile(With_23,0.5)),_xll.VoseSimPercentile(With_23,0.5),NA())</f>
        <v>116</v>
      </c>
      <c r="E175" s="59" cm="1">
        <f t="array" aca="1" ref="E175" ca="1">IF(ISNUMBER(_xll.VoseSimPercentile(With_23,0.9)),_xll.VoseSimPercentile(With_23,0.9),NA())</f>
        <v>131</v>
      </c>
      <c r="F175" s="59" cm="1">
        <f t="array" aca="1" ref="F175" ca="1">IF(ISNUMBER(_xll.VoseSimMean(With_23)),_xll.VoseSimMean(With_23),NA())</f>
        <v>113.5190759537977</v>
      </c>
    </row>
    <row r="176" spans="2:6" hidden="1" outlineLevel="1" x14ac:dyDescent="0.45">
      <c r="B176" s="58" t="s">
        <v>192</v>
      </c>
      <c r="C176" s="59" cm="1">
        <f t="array" aca="1" ref="C176" ca="1">IF(ISNUMBER(_xll.VoseSimPercentile(With_24,0.1)),_xll.VoseSimPercentile(With_24,0.1),NA())</f>
        <v>86</v>
      </c>
      <c r="D176" s="59" cm="1">
        <f t="array" aca="1" ref="D176" ca="1">IF(ISNUMBER(_xll.VoseSimPercentile(With_24,0.5)),_xll.VoseSimPercentile(With_24,0.5),NA())</f>
        <v>116</v>
      </c>
      <c r="E176" s="59" cm="1">
        <f t="array" aca="1" ref="E176" ca="1">IF(ISNUMBER(_xll.VoseSimPercentile(With_24,0.9)),_xll.VoseSimPercentile(With_24,0.9),NA())</f>
        <v>132</v>
      </c>
      <c r="F176" s="59" cm="1">
        <f t="array" aca="1" ref="F176" ca="1">IF(ISNUMBER(_xll.VoseSimMean(With_24)),_xll.VoseSimMean(With_24),NA())</f>
        <v>113.48802440122006</v>
      </c>
    </row>
    <row r="177" spans="2:6" hidden="1" outlineLevel="1" x14ac:dyDescent="0.45">
      <c r="B177" s="58" t="s">
        <v>193</v>
      </c>
      <c r="C177" s="59" cm="1">
        <f t="array" aca="1" ref="C177" ca="1">IF(ISNUMBER(_xll.VoseSimPercentile(With_25,0.1)),_xll.VoseSimPercentile(With_25,0.1),NA())</f>
        <v>85</v>
      </c>
      <c r="D177" s="59" cm="1">
        <f t="array" aca="1" ref="D177" ca="1">IF(ISNUMBER(_xll.VoseSimPercentile(With_25,0.5)),_xll.VoseSimPercentile(With_25,0.5),NA())</f>
        <v>117</v>
      </c>
      <c r="E177" s="59" cm="1">
        <f t="array" aca="1" ref="E177" ca="1">IF(ISNUMBER(_xll.VoseSimPercentile(With_25,0.9)),_xll.VoseSimPercentile(With_25,0.9),NA())</f>
        <v>133</v>
      </c>
      <c r="F177" s="59" cm="1">
        <f t="array" aca="1" ref="F177" ca="1">IF(ISNUMBER(_xll.VoseSimMean(With_25)),_xll.VoseSimMean(With_25),NA())</f>
        <v>113.53587679383969</v>
      </c>
    </row>
    <row r="178" spans="2:6" hidden="1" outlineLevel="1" x14ac:dyDescent="0.45">
      <c r="B178" s="58" t="s">
        <v>194</v>
      </c>
      <c r="C178" s="59" cm="1">
        <f t="array" aca="1" ref="C178" ca="1">IF(ISNUMBER(_xll.VoseSimPercentile(With_26,0.1)),_xll.VoseSimPercentile(With_26,0.1),NA())</f>
        <v>84</v>
      </c>
      <c r="D178" s="59" cm="1">
        <f t="array" aca="1" ref="D178" ca="1">IF(ISNUMBER(_xll.VoseSimPercentile(With_26,0.5)),_xll.VoseSimPercentile(With_26,0.5),NA())</f>
        <v>118</v>
      </c>
      <c r="E178" s="59" cm="1">
        <f t="array" aca="1" ref="E178" ca="1">IF(ISNUMBER(_xll.VoseSimPercentile(With_26,0.9)),_xll.VoseSimPercentile(With_26,0.9),NA())</f>
        <v>134</v>
      </c>
      <c r="F178" s="59" cm="1">
        <f t="array" aca="1" ref="F178" ca="1">IF(ISNUMBER(_xll.VoseSimMean(With_26)),_xll.VoseSimMean(With_26),NA())</f>
        <v>113.6294814740737</v>
      </c>
    </row>
    <row r="179" spans="2:6" hidden="1" outlineLevel="1" x14ac:dyDescent="0.45">
      <c r="B179" s="58" t="s">
        <v>195</v>
      </c>
      <c r="C179" s="59" cm="1">
        <f t="array" aca="1" ref="C179" ca="1">IF(ISNUMBER(_xll.VoseSimPercentile(With_27,0.1)),_xll.VoseSimPercentile(With_27,0.1),NA())</f>
        <v>83</v>
      </c>
      <c r="D179" s="59" cm="1">
        <f t="array" aca="1" ref="D179" ca="1">IF(ISNUMBER(_xll.VoseSimPercentile(With_27,0.5)),_xll.VoseSimPercentile(With_27,0.5),NA())</f>
        <v>118</v>
      </c>
      <c r="E179" s="59" cm="1">
        <f t="array" aca="1" ref="E179" ca="1">IF(ISNUMBER(_xll.VoseSimPercentile(With_27,0.9)),_xll.VoseSimPercentile(With_27,0.9),NA())</f>
        <v>136</v>
      </c>
      <c r="F179" s="59" cm="1">
        <f t="array" aca="1" ref="F179" ca="1">IF(ISNUMBER(_xll.VoseSimMean(With_27)),_xll.VoseSimMean(With_27),NA())</f>
        <v>113.61283064153207</v>
      </c>
    </row>
    <row r="180" spans="2:6" hidden="1" outlineLevel="1" x14ac:dyDescent="0.45">
      <c r="B180" s="58" t="s">
        <v>196</v>
      </c>
      <c r="C180" s="59" cm="1">
        <f t="array" aca="1" ref="C180" ca="1">IF(ISNUMBER(_xll.VoseSimPercentile(With_28,0.1)),_xll.VoseSimPercentile(With_28,0.1),NA())</f>
        <v>83</v>
      </c>
      <c r="D180" s="59" cm="1">
        <f t="array" aca="1" ref="D180" ca="1">IF(ISNUMBER(_xll.VoseSimPercentile(With_28,0.5)),_xll.VoseSimPercentile(With_28,0.5),NA())</f>
        <v>118</v>
      </c>
      <c r="E180" s="59" cm="1">
        <f t="array" aca="1" ref="E180" ca="1">IF(ISNUMBER(_xll.VoseSimPercentile(With_28,0.9)),_xll.VoseSimPercentile(With_28,0.9),NA())</f>
        <v>137</v>
      </c>
      <c r="F180" s="59" cm="1">
        <f t="array" aca="1" ref="F180" ca="1">IF(ISNUMBER(_xll.VoseSimMean(With_28)),_xll.VoseSimMean(With_28),NA())</f>
        <v>113.48982449122457</v>
      </c>
    </row>
    <row r="181" spans="2:6" hidden="1" outlineLevel="1" x14ac:dyDescent="0.45">
      <c r="B181" s="58" t="s">
        <v>197</v>
      </c>
      <c r="C181" s="59" cm="1">
        <f t="array" aca="1" ref="C181" ca="1">IF(ISNUMBER(_xll.VoseSimPercentile(With_29,0.1)),_xll.VoseSimPercentile(With_29,0.1),NA())</f>
        <v>83</v>
      </c>
      <c r="D181" s="59" cm="1">
        <f t="array" aca="1" ref="D181" ca="1">IF(ISNUMBER(_xll.VoseSimPercentile(With_29,0.5)),_xll.VoseSimPercentile(With_29,0.5),NA())</f>
        <v>118</v>
      </c>
      <c r="E181" s="59" cm="1">
        <f t="array" aca="1" ref="E181" ca="1">IF(ISNUMBER(_xll.VoseSimPercentile(With_29,0.9)),_xll.VoseSimPercentile(With_29,0.9),NA())</f>
        <v>138</v>
      </c>
      <c r="F181" s="59" cm="1">
        <f t="array" aca="1" ref="F181" ca="1">IF(ISNUMBER(_xll.VoseSimMean(With_29)),_xll.VoseSimMean(With_29),NA())</f>
        <v>113.51147557377868</v>
      </c>
    </row>
    <row r="182" spans="2:6" hidden="1" outlineLevel="1" x14ac:dyDescent="0.45">
      <c r="B182" s="58" t="s">
        <v>198</v>
      </c>
      <c r="C182" s="59" cm="1">
        <f t="array" aca="1" ref="C182" ca="1">IF(ISNUMBER(_xll.VoseSimPercentile(With_30,0.1)),_xll.VoseSimPercentile(With_30,0.1),NA())</f>
        <v>84</v>
      </c>
      <c r="D182" s="59" cm="1">
        <f t="array" aca="1" ref="D182" ca="1">IF(ISNUMBER(_xll.VoseSimPercentile(With_30,0.5)),_xll.VoseSimPercentile(With_30,0.5),NA())</f>
        <v>119</v>
      </c>
      <c r="E182" s="59" cm="1">
        <f t="array" aca="1" ref="E182" ca="1">IF(ISNUMBER(_xll.VoseSimPercentile(With_30,0.9)),_xll.VoseSimPercentile(With_30,0.9),NA())</f>
        <v>139</v>
      </c>
      <c r="F182" s="59" cm="1">
        <f t="array" aca="1" ref="F182" ca="1">IF(ISNUMBER(_xll.VoseSimMean(With_30)),_xll.VoseSimMean(With_30),NA())</f>
        <v>113.61233061653083</v>
      </c>
    </row>
    <row r="183" spans="2:6" hidden="1" outlineLevel="1" x14ac:dyDescent="0.45">
      <c r="B183" s="58" t="s">
        <v>199</v>
      </c>
      <c r="C183" s="59" cm="1">
        <f t="array" aca="1" ref="C183" ca="1">IF(ISNUMBER(_xll.VoseSimPercentile(With_31,0.1)),_xll.VoseSimPercentile(With_31,0.1),NA())</f>
        <v>84</v>
      </c>
      <c r="D183" s="59" cm="1">
        <f t="array" aca="1" ref="D183" ca="1">IF(ISNUMBER(_xll.VoseSimPercentile(With_31,0.5)),_xll.VoseSimPercentile(With_31,0.5),NA())</f>
        <v>118</v>
      </c>
      <c r="E183" s="59" cm="1">
        <f t="array" aca="1" ref="E183" ca="1">IF(ISNUMBER(_xll.VoseSimPercentile(With_31,0.9)),_xll.VoseSimPercentile(With_31,0.9),NA())</f>
        <v>139</v>
      </c>
      <c r="F183" s="59" cm="1">
        <f t="array" aca="1" ref="F183" ca="1">IF(ISNUMBER(_xll.VoseSimMean(With_31)),_xll.VoseSimMean(With_31),NA())</f>
        <v>113.42537126856342</v>
      </c>
    </row>
    <row r="184" spans="2:6" hidden="1" outlineLevel="1" x14ac:dyDescent="0.45">
      <c r="B184" s="58" t="s">
        <v>200</v>
      </c>
      <c r="C184" s="59" cm="1">
        <f t="array" aca="1" ref="C184" ca="1">IF(ISNUMBER(_xll.VoseSimPercentile(With_32,0.1)),_xll.VoseSimPercentile(With_32,0.1),NA())</f>
        <v>84</v>
      </c>
      <c r="D184" s="59" cm="1">
        <f t="array" aca="1" ref="D184" ca="1">IF(ISNUMBER(_xll.VoseSimPercentile(With_32,0.5)),_xll.VoseSimPercentile(With_32,0.5),NA())</f>
        <v>118</v>
      </c>
      <c r="E184" s="59" cm="1">
        <f t="array" aca="1" ref="E184" ca="1">IF(ISNUMBER(_xll.VoseSimPercentile(With_32,0.9)),_xll.VoseSimPercentile(With_32,0.9),NA())</f>
        <v>140</v>
      </c>
      <c r="F184" s="59" cm="1">
        <f t="array" aca="1" ref="F184" ca="1">IF(ISNUMBER(_xll.VoseSimMean(With_32)),_xll.VoseSimMean(With_32),NA())</f>
        <v>113.48007400370018</v>
      </c>
    </row>
    <row r="185" spans="2:6" hidden="1" outlineLevel="1" x14ac:dyDescent="0.45">
      <c r="B185" s="58" t="s">
        <v>201</v>
      </c>
      <c r="C185" s="59" cm="1">
        <f t="array" aca="1" ref="C185" ca="1">IF(ISNUMBER(_xll.VoseSimPercentile(With_33,0.1)),_xll.VoseSimPercentile(With_33,0.1),NA())</f>
        <v>84</v>
      </c>
      <c r="D185" s="59" cm="1">
        <f t="array" aca="1" ref="D185" ca="1">IF(ISNUMBER(_xll.VoseSimPercentile(With_33,0.5)),_xll.VoseSimPercentile(With_33,0.5),NA())</f>
        <v>116</v>
      </c>
      <c r="E185" s="59" cm="1">
        <f t="array" aca="1" ref="E185" ca="1">IF(ISNUMBER(_xll.VoseSimPercentile(With_33,0.9)),_xll.VoseSimPercentile(With_33,0.9),NA())</f>
        <v>141</v>
      </c>
      <c r="F185" s="59" cm="1">
        <f t="array" aca="1" ref="F185" ca="1">IF(ISNUMBER(_xll.VoseSimMean(With_33)),_xll.VoseSimMean(With_33),NA())</f>
        <v>113.28866443322165</v>
      </c>
    </row>
    <row r="186" spans="2:6" hidden="1" outlineLevel="1" x14ac:dyDescent="0.45">
      <c r="B186" s="58" t="s">
        <v>202</v>
      </c>
      <c r="C186" s="59" cm="1">
        <f t="array" aca="1" ref="C186" ca="1">IF(ISNUMBER(_xll.VoseSimPercentile(With_34,0.1)),_xll.VoseSimPercentile(With_34,0.1),NA())</f>
        <v>84</v>
      </c>
      <c r="D186" s="59" cm="1">
        <f t="array" aca="1" ref="D186" ca="1">IF(ISNUMBER(_xll.VoseSimPercentile(With_34,0.5)),_xll.VoseSimPercentile(With_34,0.5),NA())</f>
        <v>114</v>
      </c>
      <c r="E186" s="59" cm="1">
        <f t="array" aca="1" ref="E186" ca="1">IF(ISNUMBER(_xll.VoseSimPercentile(With_34,0.9)),_xll.VoseSimPercentile(With_34,0.9),NA())</f>
        <v>142</v>
      </c>
      <c r="F186" s="59" cm="1">
        <f t="array" aca="1" ref="F186" ca="1">IF(ISNUMBER(_xll.VoseSimMean(With_34)),_xll.VoseSimMean(With_34),NA())</f>
        <v>113.09420471023552</v>
      </c>
    </row>
    <row r="187" spans="2:6" hidden="1" outlineLevel="1" x14ac:dyDescent="0.45">
      <c r="B187" s="58" t="s">
        <v>203</v>
      </c>
      <c r="C187" s="59" cm="1">
        <f t="array" aca="1" ref="C187" ca="1">IF(ISNUMBER(_xll.VoseSimPercentile(With_35,0.1)),_xll.VoseSimPercentile(With_35,0.1),NA())</f>
        <v>85</v>
      </c>
      <c r="D187" s="59" cm="1">
        <f t="array" aca="1" ref="D187" ca="1">IF(ISNUMBER(_xll.VoseSimPercentile(With_35,0.5)),_xll.VoseSimPercentile(With_35,0.5),NA())</f>
        <v>110</v>
      </c>
      <c r="E187" s="59" cm="1">
        <f t="array" aca="1" ref="E187" ca="1">IF(ISNUMBER(_xll.VoseSimPercentile(With_35,0.9)),_xll.VoseSimPercentile(With_35,0.9),NA())</f>
        <v>143</v>
      </c>
      <c r="F187" s="59" cm="1">
        <f t="array" aca="1" ref="F187" ca="1">IF(ISNUMBER(_xll.VoseSimMean(With_35)),_xll.VoseSimMean(With_35),NA())</f>
        <v>112.95019750987549</v>
      </c>
    </row>
    <row r="188" spans="2:6" hidden="1" outlineLevel="1" x14ac:dyDescent="0.45">
      <c r="B188" s="58" t="s">
        <v>204</v>
      </c>
      <c r="C188" s="59" cm="1">
        <f t="array" aca="1" ref="C188" ca="1">IF(ISNUMBER(_xll.VoseSimPercentile(With_36,0.1)),_xll.VoseSimPercentile(With_36,0.1),NA())</f>
        <v>86</v>
      </c>
      <c r="D188" s="59" cm="1">
        <f t="array" aca="1" ref="D188" ca="1">IF(ISNUMBER(_xll.VoseSimPercentile(With_36,0.5)),_xll.VoseSimPercentile(With_36,0.5),NA())</f>
        <v>107</v>
      </c>
      <c r="E188" s="59" cm="1">
        <f t="array" aca="1" ref="E188" ca="1">IF(ISNUMBER(_xll.VoseSimPercentile(With_36,0.9)),_xll.VoseSimPercentile(With_36,0.9),NA())</f>
        <v>144</v>
      </c>
      <c r="F188" s="59" cm="1">
        <f t="array" aca="1" ref="F188" ca="1">IF(ISNUMBER(_xll.VoseSimMean(With_36)),_xll.VoseSimMean(With_36),NA())</f>
        <v>112.8124406220311</v>
      </c>
    </row>
    <row r="189" spans="2:6" hidden="1" outlineLevel="1" x14ac:dyDescent="0.45">
      <c r="B189" s="58" t="s">
        <v>205</v>
      </c>
      <c r="C189" s="59" cm="1">
        <f t="array" aca="1" ref="C189" ca="1">IF(ISNUMBER(_xll.VoseSimPercentile(With_37,0.1)),_xll.VoseSimPercentile(With_37,0.1),NA())</f>
        <v>86</v>
      </c>
      <c r="D189" s="59" cm="1">
        <f t="array" aca="1" ref="D189" ca="1">IF(ISNUMBER(_xll.VoseSimPercentile(With_37,0.5)),_xll.VoseSimPercentile(With_37,0.5),NA())</f>
        <v>106</v>
      </c>
      <c r="E189" s="59" cm="1">
        <f t="array" aca="1" ref="E189" ca="1">IF(ISNUMBER(_xll.VoseSimPercentile(With_37,0.9)),_xll.VoseSimPercentile(With_37,0.9),NA())</f>
        <v>145</v>
      </c>
      <c r="F189" s="59" cm="1">
        <f t="array" aca="1" ref="F189" ca="1">IF(ISNUMBER(_xll.VoseSimMean(With_37)),_xll.VoseSimMean(With_37),NA())</f>
        <v>112.33846692334616</v>
      </c>
    </row>
    <row r="190" spans="2:6" hidden="1" outlineLevel="1" x14ac:dyDescent="0.45">
      <c r="B190" s="58" t="s">
        <v>206</v>
      </c>
      <c r="C190" s="59" cm="1">
        <f t="array" aca="1" ref="C190" ca="1">IF(ISNUMBER(_xll.VoseSimPercentile(With_38,0.1)),_xll.VoseSimPercentile(With_38,0.1),NA())</f>
        <v>86</v>
      </c>
      <c r="D190" s="59" cm="1">
        <f t="array" aca="1" ref="D190" ca="1">IF(ISNUMBER(_xll.VoseSimPercentile(With_38,0.5)),_xll.VoseSimPercentile(With_38,0.5),NA())</f>
        <v>104</v>
      </c>
      <c r="E190" s="59" cm="1">
        <f t="array" aca="1" ref="E190" ca="1">IF(ISNUMBER(_xll.VoseSimPercentile(With_38,0.9)),_xll.VoseSimPercentile(With_38,0.9),NA())</f>
        <v>145</v>
      </c>
      <c r="F190" s="59" cm="1">
        <f t="array" aca="1" ref="F190" ca="1">IF(ISNUMBER(_xll.VoseSimMean(With_38)),_xll.VoseSimMean(With_38),NA())</f>
        <v>111.89654482724136</v>
      </c>
    </row>
    <row r="191" spans="2:6" hidden="1" outlineLevel="1" x14ac:dyDescent="0.45">
      <c r="B191" s="58" t="s">
        <v>207</v>
      </c>
      <c r="C191" s="59" cm="1">
        <f t="array" aca="1" ref="C191" ca="1">IF(ISNUMBER(_xll.VoseSimPercentile(With_39,0.1)),_xll.VoseSimPercentile(With_39,0.1),NA())</f>
        <v>87</v>
      </c>
      <c r="D191" s="59" cm="1">
        <f t="array" aca="1" ref="D191" ca="1">IF(ISNUMBER(_xll.VoseSimPercentile(With_39,0.5)),_xll.VoseSimPercentile(With_39,0.5),NA())</f>
        <v>104</v>
      </c>
      <c r="E191" s="59" cm="1">
        <f t="array" aca="1" ref="E191" ca="1">IF(ISNUMBER(_xll.VoseSimPercentile(With_39,0.9)),_xll.VoseSimPercentile(With_39,0.9),NA())</f>
        <v>145</v>
      </c>
      <c r="F191" s="59" cm="1">
        <f t="array" aca="1" ref="F191" ca="1">IF(ISNUMBER(_xll.VoseSimMean(With_39)),_xll.VoseSimMean(With_39),NA())</f>
        <v>111.81984099204961</v>
      </c>
    </row>
    <row r="192" spans="2:6" hidden="1" outlineLevel="1" x14ac:dyDescent="0.45">
      <c r="B192" s="58" t="s">
        <v>208</v>
      </c>
      <c r="C192" s="59" cm="1">
        <f t="array" aca="1" ref="C192" ca="1">IF(ISNUMBER(_xll.VoseSimPercentile(With_40,0.1)),_xll.VoseSimPercentile(With_40,0.1),NA())</f>
        <v>88</v>
      </c>
      <c r="D192" s="59" cm="1">
        <f t="array" aca="1" ref="D192" ca="1">IF(ISNUMBER(_xll.VoseSimPercentile(With_40,0.5)),_xll.VoseSimPercentile(With_40,0.5),NA())</f>
        <v>104</v>
      </c>
      <c r="E192" s="59" cm="1">
        <f t="array" aca="1" ref="E192" ca="1">IF(ISNUMBER(_xll.VoseSimPercentile(With_40,0.9)),_xll.VoseSimPercentile(With_40,0.9),NA())</f>
        <v>146</v>
      </c>
      <c r="F192" s="59" cm="1">
        <f t="array" aca="1" ref="F192" ca="1">IF(ISNUMBER(_xll.VoseSimMean(With_40)),_xll.VoseSimMean(With_40),NA())</f>
        <v>111.48437421871094</v>
      </c>
    </row>
    <row r="193" spans="2:6" hidden="1" outlineLevel="1" x14ac:dyDescent="0.45">
      <c r="B193" s="58" t="s">
        <v>209</v>
      </c>
      <c r="C193" s="59" cm="1">
        <f t="array" aca="1" ref="C193" ca="1">IF(ISNUMBER(_xll.VoseSimPercentile(With_41,0.1)),_xll.VoseSimPercentile(With_41,0.1),NA())</f>
        <v>88</v>
      </c>
      <c r="D193" s="59" cm="1">
        <f t="array" aca="1" ref="D193" ca="1">IF(ISNUMBER(_xll.VoseSimPercentile(With_41,0.5)),_xll.VoseSimPercentile(With_41,0.5),NA())</f>
        <v>104</v>
      </c>
      <c r="E193" s="59" cm="1">
        <f t="array" aca="1" ref="E193" ca="1">IF(ISNUMBER(_xll.VoseSimPercentile(With_41,0.9)),_xll.VoseSimPercentile(With_41,0.9),NA())</f>
        <v>146</v>
      </c>
      <c r="F193" s="59" cm="1">
        <f t="array" aca="1" ref="F193" ca="1">IF(ISNUMBER(_xll.VoseSimMean(With_41)),_xll.VoseSimMean(With_41),NA())</f>
        <v>111.2047602380119</v>
      </c>
    </row>
    <row r="194" spans="2:6" hidden="1" outlineLevel="1" x14ac:dyDescent="0.45">
      <c r="B194" s="58" t="s">
        <v>210</v>
      </c>
      <c r="C194" s="59" cm="1">
        <f t="array" aca="1" ref="C194" ca="1">IF(ISNUMBER(_xll.VoseSimPercentile(With_42,0.1)),_xll.VoseSimPercentile(With_42,0.1),NA())</f>
        <v>89</v>
      </c>
      <c r="D194" s="59" cm="1">
        <f t="array" aca="1" ref="D194" ca="1">IF(ISNUMBER(_xll.VoseSimPercentile(With_42,0.5)),_xll.VoseSimPercentile(With_42,0.5),NA())</f>
        <v>104</v>
      </c>
      <c r="E194" s="59" cm="1">
        <f t="array" aca="1" ref="E194" ca="1">IF(ISNUMBER(_xll.VoseSimPercentile(With_42,0.9)),_xll.VoseSimPercentile(With_42,0.9),NA())</f>
        <v>146</v>
      </c>
      <c r="F194" s="59" cm="1">
        <f t="array" aca="1" ref="F194" ca="1">IF(ISNUMBER(_xll.VoseSimMean(With_42)),_xll.VoseSimMean(With_42),NA())</f>
        <v>110.71943597179859</v>
      </c>
    </row>
    <row r="195" spans="2:6" hidden="1" outlineLevel="1" x14ac:dyDescent="0.45">
      <c r="B195" s="58" t="s">
        <v>211</v>
      </c>
      <c r="C195" s="59" cm="1">
        <f t="array" aca="1" ref="C195" ca="1">IF(ISNUMBER(_xll.VoseSimPercentile(With_43,0.1)),_xll.VoseSimPercentile(With_43,0.1),NA())</f>
        <v>90</v>
      </c>
      <c r="D195" s="59" cm="1">
        <f t="array" aca="1" ref="D195" ca="1">IF(ISNUMBER(_xll.VoseSimPercentile(With_43,0.5)),_xll.VoseSimPercentile(With_43,0.5),NA())</f>
        <v>104</v>
      </c>
      <c r="E195" s="59" cm="1">
        <f t="array" aca="1" ref="E195" ca="1">IF(ISNUMBER(_xll.VoseSimPercentile(With_43,0.9)),_xll.VoseSimPercentile(With_43,0.9),NA())</f>
        <v>145</v>
      </c>
      <c r="F195" s="59" cm="1">
        <f t="array" aca="1" ref="F195" ca="1">IF(ISNUMBER(_xll.VoseSimMean(With_43)),_xll.VoseSimMean(With_43),NA())</f>
        <v>110.38871943597179</v>
      </c>
    </row>
    <row r="196" spans="2:6" hidden="1" outlineLevel="1" x14ac:dyDescent="0.45">
      <c r="B196" s="58" t="s">
        <v>212</v>
      </c>
      <c r="C196" s="59" cm="1">
        <f t="array" aca="1" ref="C196" ca="1">IF(ISNUMBER(_xll.VoseSimPercentile(With_44,0.1)),_xll.VoseSimPercentile(With_44,0.1),NA())</f>
        <v>90</v>
      </c>
      <c r="D196" s="59" cm="1">
        <f t="array" aca="1" ref="D196" ca="1">IF(ISNUMBER(_xll.VoseSimPercentile(With_44,0.5)),_xll.VoseSimPercentile(With_44,0.5),NA())</f>
        <v>105</v>
      </c>
      <c r="E196" s="59" cm="1">
        <f t="array" aca="1" ref="E196" ca="1">IF(ISNUMBER(_xll.VoseSimPercentile(With_44,0.9)),_xll.VoseSimPercentile(With_44,0.9),NA())</f>
        <v>145</v>
      </c>
      <c r="F196" s="59" cm="1">
        <f t="array" aca="1" ref="F196" ca="1">IF(ISNUMBER(_xll.VoseSimMean(With_44)),_xll.VoseSimMean(With_44),NA())</f>
        <v>110.20686034301715</v>
      </c>
    </row>
    <row r="197" spans="2:6" hidden="1" outlineLevel="1" x14ac:dyDescent="0.45">
      <c r="B197" s="58" t="s">
        <v>213</v>
      </c>
      <c r="C197" s="59" cm="1">
        <f t="array" aca="1" ref="C197" ca="1">IF(ISNUMBER(_xll.VoseSimPercentile(With_45,0.1)),_xll.VoseSimPercentile(With_45,0.1),NA())</f>
        <v>91</v>
      </c>
      <c r="D197" s="59" cm="1">
        <f t="array" aca="1" ref="D197" ca="1">IF(ISNUMBER(_xll.VoseSimPercentile(With_45,0.5)),_xll.VoseSimPercentile(With_45,0.5),NA())</f>
        <v>105</v>
      </c>
      <c r="E197" s="59" cm="1">
        <f t="array" aca="1" ref="E197" ca="1">IF(ISNUMBER(_xll.VoseSimPercentile(With_45,0.9)),_xll.VoseSimPercentile(With_45,0.9),NA())</f>
        <v>144</v>
      </c>
      <c r="F197" s="59" cm="1">
        <f t="array" aca="1" ref="F197" ca="1">IF(ISNUMBER(_xll.VoseSimMean(With_45)),_xll.VoseSimMean(With_45),NA())</f>
        <v>109.92334616730837</v>
      </c>
    </row>
    <row r="198" spans="2:6" hidden="1" outlineLevel="1" x14ac:dyDescent="0.45">
      <c r="B198" s="58" t="s">
        <v>214</v>
      </c>
      <c r="C198" s="59" cm="1">
        <f t="array" aca="1" ref="C198" ca="1">IF(ISNUMBER(_xll.VoseSimPercentile(With_46,0.1)),_xll.VoseSimPercentile(With_46,0.1),NA())</f>
        <v>91</v>
      </c>
      <c r="D198" s="59" cm="1">
        <f t="array" aca="1" ref="D198" ca="1">IF(ISNUMBER(_xll.VoseSimPercentile(With_46,0.5)),_xll.VoseSimPercentile(With_46,0.5),NA())</f>
        <v>105</v>
      </c>
      <c r="E198" s="59" cm="1">
        <f t="array" aca="1" ref="E198" ca="1">IF(ISNUMBER(_xll.VoseSimPercentile(With_46,0.9)),_xll.VoseSimPercentile(With_46,0.9),NA())</f>
        <v>140</v>
      </c>
      <c r="F198" s="59" cm="1">
        <f t="array" aca="1" ref="F198" ca="1">IF(ISNUMBER(_xll.VoseSimMean(With_46)),_xll.VoseSimMean(With_46),NA())</f>
        <v>109.31016550827542</v>
      </c>
    </row>
    <row r="199" spans="2:6" hidden="1" outlineLevel="1" x14ac:dyDescent="0.45">
      <c r="B199" s="58" t="s">
        <v>215</v>
      </c>
      <c r="C199" s="59" cm="1">
        <f t="array" aca="1" ref="C199" ca="1">IF(ISNUMBER(_xll.VoseSimPercentile(With_47,0.1)),_xll.VoseSimPercentile(With_47,0.1),NA())</f>
        <v>92</v>
      </c>
      <c r="D199" s="59" cm="1">
        <f t="array" aca="1" ref="D199" ca="1">IF(ISNUMBER(_xll.VoseSimPercentile(With_47,0.5)),_xll.VoseSimPercentile(With_47,0.5),NA())</f>
        <v>106</v>
      </c>
      <c r="E199" s="59" cm="1">
        <f t="array" aca="1" ref="E199" ca="1">IF(ISNUMBER(_xll.VoseSimPercentile(With_47,0.9)),_xll.VoseSimPercentile(With_47,0.9),NA())</f>
        <v>129</v>
      </c>
      <c r="F199" s="59" cm="1">
        <f t="array" aca="1" ref="F199" ca="1">IF(ISNUMBER(_xll.VoseSimMean(With_47)),_xll.VoseSimMean(With_47),NA())</f>
        <v>108.66898344917246</v>
      </c>
    </row>
    <row r="200" spans="2:6" hidden="1" outlineLevel="1" x14ac:dyDescent="0.45">
      <c r="B200" s="58" t="s">
        <v>216</v>
      </c>
      <c r="C200" s="59" cm="1">
        <f t="array" aca="1" ref="C200" ca="1">IF(ISNUMBER(_xll.VoseSimPercentile(With_48,0.1)),_xll.VoseSimPercentile(With_48,0.1),NA())</f>
        <v>93</v>
      </c>
      <c r="D200" s="59" cm="1">
        <f t="array" aca="1" ref="D200" ca="1">IF(ISNUMBER(_xll.VoseSimPercentile(With_48,0.5)),_xll.VoseSimPercentile(With_48,0.5),NA())</f>
        <v>106</v>
      </c>
      <c r="E200" s="59" cm="1">
        <f t="array" aca="1" ref="E200" ca="1">IF(ISNUMBER(_xll.VoseSimPercentile(With_48,0.9)),_xll.VoseSimPercentile(With_48,0.9),NA())</f>
        <v>124</v>
      </c>
      <c r="F200" s="59" cm="1">
        <f t="array" aca="1" ref="F200" ca="1">IF(ISNUMBER(_xll.VoseSimMean(With_48)),_xll.VoseSimMean(With_48),NA())</f>
        <v>108.39761988099404</v>
      </c>
    </row>
    <row r="201" spans="2:6" hidden="1" outlineLevel="1" x14ac:dyDescent="0.45">
      <c r="B201" s="58" t="s">
        <v>217</v>
      </c>
      <c r="C201" s="59" cm="1">
        <f t="array" aca="1" ref="C201" ca="1">IF(ISNUMBER(_xll.VoseSimPercentile(With_49,0.1)),_xll.VoseSimPercentile(With_49,0.1),NA())</f>
        <v>93</v>
      </c>
      <c r="D201" s="59" cm="1">
        <f t="array" aca="1" ref="D201" ca="1">IF(ISNUMBER(_xll.VoseSimPercentile(With_49,0.5)),_xll.VoseSimPercentile(With_49,0.5),NA())</f>
        <v>107</v>
      </c>
      <c r="E201" s="59" cm="1">
        <f t="array" aca="1" ref="E201" ca="1">IF(ISNUMBER(_xll.VoseSimPercentile(With_49,0.9)),_xll.VoseSimPercentile(With_49,0.9),NA())</f>
        <v>122</v>
      </c>
      <c r="F201" s="59" cm="1">
        <f t="array" aca="1" ref="F201" ca="1">IF(ISNUMBER(_xll.VoseSimMean(With_49)),_xll.VoseSimMean(With_49),NA())</f>
        <v>107.67228361418071</v>
      </c>
    </row>
    <row r="202" spans="2:6" hidden="1" outlineLevel="1" x14ac:dyDescent="0.45">
      <c r="B202" s="58" t="s">
        <v>218</v>
      </c>
      <c r="C202" s="59" cm="1">
        <f t="array" aca="1" ref="C202" ca="1">IF(ISNUMBER(_xll.VoseSimPercentile(With_50,0.1)),_xll.VoseSimPercentile(With_50,0.1),NA())</f>
        <v>94</v>
      </c>
      <c r="D202" s="59" cm="1">
        <f t="array" aca="1" ref="D202" ca="1">IF(ISNUMBER(_xll.VoseSimPercentile(With_50,0.5)),_xll.VoseSimPercentile(With_50,0.5),NA())</f>
        <v>107</v>
      </c>
      <c r="E202" s="59" cm="1">
        <f t="array" aca="1" ref="E202" ca="1">IF(ISNUMBER(_xll.VoseSimPercentile(With_50,0.9)),_xll.VoseSimPercentile(With_50,0.9),NA())</f>
        <v>121</v>
      </c>
      <c r="F202" s="59" cm="1">
        <f t="array" aca="1" ref="F202" ca="1">IF(ISNUMBER(_xll.VoseSimMean(With_50)),_xll.VoseSimMean(With_50),NA())</f>
        <v>106.95494774738737</v>
      </c>
    </row>
    <row r="203" spans="2:6" hidden="1" outlineLevel="1" x14ac:dyDescent="0.45">
      <c r="B203" s="58" t="s">
        <v>219</v>
      </c>
      <c r="C203" s="59" cm="1">
        <f t="array" aca="1" ref="C203" ca="1">IF(ISNUMBER(_xll.VoseSimPercentile(With_51,0.1)),_xll.VoseSimPercentile(With_51,0.1),NA())</f>
        <v>95</v>
      </c>
      <c r="D203" s="59" cm="1">
        <f t="array" aca="1" ref="D203" ca="1">IF(ISNUMBER(_xll.VoseSimPercentile(With_51,0.5)),_xll.VoseSimPercentile(With_51,0.5),NA())</f>
        <v>108</v>
      </c>
      <c r="E203" s="59" cm="1">
        <f t="array" aca="1" ref="E203" ca="1">IF(ISNUMBER(_xll.VoseSimPercentile(With_51,0.9)),_xll.VoseSimPercentile(With_51,0.9),NA())</f>
        <v>122</v>
      </c>
      <c r="F203" s="59" cm="1">
        <f t="array" aca="1" ref="F203" ca="1">IF(ISNUMBER(_xll.VoseSimMean(With_51)),_xll.VoseSimMean(With_51),NA())</f>
        <v>108.15865793289665</v>
      </c>
    </row>
    <row r="204" spans="2:6" hidden="1" outlineLevel="1" x14ac:dyDescent="0.45">
      <c r="B204" s="58" t="s">
        <v>220</v>
      </c>
      <c r="C204" s="59" cm="1">
        <f t="array" aca="1" ref="C204" ca="1">IF(ISNUMBER(_xll.VoseSimPercentile(With_52,0.1)),_xll.VoseSimPercentile(With_52,0.1),NA())</f>
        <v>96</v>
      </c>
      <c r="D204" s="59" cm="1">
        <f t="array" aca="1" ref="D204" ca="1">IF(ISNUMBER(_xll.VoseSimPercentile(With_52,0.5)),_xll.VoseSimPercentile(With_52,0.5),NA())</f>
        <v>109</v>
      </c>
      <c r="E204" s="59" cm="1">
        <f t="array" aca="1" ref="E204" ca="1">IF(ISNUMBER(_xll.VoseSimPercentile(With_52,0.9)),_xll.VoseSimPercentile(With_52,0.9),NA())</f>
        <v>122</v>
      </c>
      <c r="F204" s="59" cm="1">
        <f t="array" aca="1" ref="F204" ca="1">IF(ISNUMBER(_xll.VoseSimMean(With_52)),_xll.VoseSimMean(With_52),NA())</f>
        <v>108.76073803690184</v>
      </c>
    </row>
    <row r="205" spans="2:6" hidden="1" outlineLevel="1" x14ac:dyDescent="0.45">
      <c r="B205" s="58" t="s">
        <v>221</v>
      </c>
      <c r="C205" s="59" cm="1">
        <f t="array" aca="1" ref="C205" ca="1">IF(ISNUMBER(_xll.VoseSimPercentile(With_53,0.1)),_xll.VoseSimPercentile(With_53,0.1),NA())</f>
        <v>96</v>
      </c>
      <c r="D205" s="59" cm="1">
        <f t="array" aca="1" ref="D205" ca="1">IF(ISNUMBER(_xll.VoseSimPercentile(With_53,0.5)),_xll.VoseSimPercentile(With_53,0.5),NA())</f>
        <v>110</v>
      </c>
      <c r="E205" s="59" cm="1">
        <f t="array" aca="1" ref="E205" ca="1">IF(ISNUMBER(_xll.VoseSimPercentile(With_53,0.9)),_xll.VoseSimPercentile(With_53,0.9),NA())</f>
        <v>124</v>
      </c>
      <c r="F205" s="59" cm="1">
        <f t="array" aca="1" ref="F205" ca="1">IF(ISNUMBER(_xll.VoseSimMean(With_53)),_xll.VoseSimMean(With_53),NA())</f>
        <v>109.94904745237262</v>
      </c>
    </row>
    <row r="206" spans="2:6" hidden="1" outlineLevel="1" x14ac:dyDescent="0.45">
      <c r="B206" s="58" t="s">
        <v>222</v>
      </c>
      <c r="C206" s="59" cm="1">
        <f t="array" aca="1" ref="C206" ca="1">IF(ISNUMBER(_xll.VoseSimPercentile(With_54,0.1)),_xll.VoseSimPercentile(With_54,0.1),NA())</f>
        <v>97</v>
      </c>
      <c r="D206" s="59" cm="1">
        <f t="array" aca="1" ref="D206" ca="1">IF(ISNUMBER(_xll.VoseSimPercentile(With_54,0.5)),_xll.VoseSimPercentile(With_54,0.5),NA())</f>
        <v>111</v>
      </c>
      <c r="E206" s="59" cm="1">
        <f t="array" aca="1" ref="E206" ca="1">IF(ISNUMBER(_xll.VoseSimPercentile(With_54,0.9)),_xll.VoseSimPercentile(With_54,0.9),NA())</f>
        <v>124</v>
      </c>
      <c r="F206" s="59" cm="1">
        <f t="array" aca="1" ref="F206" ca="1">IF(ISNUMBER(_xll.VoseSimMean(With_54)),_xll.VoseSimMean(With_54),NA())</f>
        <v>110.7726386319316</v>
      </c>
    </row>
    <row r="207" spans="2:6" hidden="1" outlineLevel="1" x14ac:dyDescent="0.45">
      <c r="B207" s="58" t="s">
        <v>223</v>
      </c>
      <c r="C207" s="59" cm="1">
        <f t="array" aca="1" ref="C207" ca="1">IF(ISNUMBER(_xll.VoseSimPercentile(With_55,0.1)),_xll.VoseSimPercentile(With_55,0.1),NA())</f>
        <v>98</v>
      </c>
      <c r="D207" s="59" cm="1">
        <f t="array" aca="1" ref="D207" ca="1">IF(ISNUMBER(_xll.VoseSimPercentile(With_55,0.5)),_xll.VoseSimPercentile(With_55,0.5),NA())</f>
        <v>111</v>
      </c>
      <c r="E207" s="59" cm="1">
        <f t="array" aca="1" ref="E207" ca="1">IF(ISNUMBER(_xll.VoseSimPercentile(With_55,0.9)),_xll.VoseSimPercentile(With_55,0.9),NA())</f>
        <v>125</v>
      </c>
      <c r="F207" s="59" cm="1">
        <f t="array" aca="1" ref="F207" ca="1">IF(ISNUMBER(_xll.VoseSimMean(With_55)),_xll.VoseSimMean(With_55),NA())</f>
        <v>111.74078703935197</v>
      </c>
    </row>
    <row r="208" spans="2:6" hidden="1" outlineLevel="1" x14ac:dyDescent="0.45">
      <c r="B208" s="58" t="s">
        <v>224</v>
      </c>
      <c r="C208" s="59" cm="1">
        <f t="array" aca="1" ref="C208" ca="1">IF(ISNUMBER(_xll.VoseSimPercentile(With_56,0.1)),_xll.VoseSimPercentile(With_56,0.1),NA())</f>
        <v>99</v>
      </c>
      <c r="D208" s="59" cm="1">
        <f t="array" aca="1" ref="D208" ca="1">IF(ISNUMBER(_xll.VoseSimPercentile(With_56,0.5)),_xll.VoseSimPercentile(With_56,0.5),NA())</f>
        <v>112</v>
      </c>
      <c r="E208" s="59" cm="1">
        <f t="array" aca="1" ref="E208" ca="1">IF(ISNUMBER(_xll.VoseSimPercentile(With_56,0.9)),_xll.VoseSimPercentile(With_56,0.9),NA())</f>
        <v>126</v>
      </c>
      <c r="F208" s="59" cm="1">
        <f t="array" aca="1" ref="F208" ca="1">IF(ISNUMBER(_xll.VoseSimMean(With_56)),_xll.VoseSimMean(With_56),NA())</f>
        <v>112.61193059652983</v>
      </c>
    </row>
    <row r="209" spans="2:6" hidden="1" outlineLevel="1" x14ac:dyDescent="0.45">
      <c r="B209" s="58" t="s">
        <v>225</v>
      </c>
      <c r="C209" s="59" cm="1">
        <f t="array" aca="1" ref="C209" ca="1">IF(ISNUMBER(_xll.VoseSimPercentile(With_57,0.1)),_xll.VoseSimPercentile(With_57,0.1),NA())</f>
        <v>100</v>
      </c>
      <c r="D209" s="59" cm="1">
        <f t="array" aca="1" ref="D209" ca="1">IF(ISNUMBER(_xll.VoseSimPercentile(With_57,0.5)),_xll.VoseSimPercentile(With_57,0.5),NA())</f>
        <v>113</v>
      </c>
      <c r="E209" s="59" cm="1">
        <f t="array" aca="1" ref="E209" ca="1">IF(ISNUMBER(_xll.VoseSimPercentile(With_57,0.9)),_xll.VoseSimPercentile(With_57,0.9),NA())</f>
        <v>127</v>
      </c>
      <c r="F209" s="59" cm="1">
        <f t="array" aca="1" ref="F209" ca="1">IF(ISNUMBER(_xll.VoseSimMean(With_57)),_xll.VoseSimMean(With_57),NA())</f>
        <v>113.43237161858093</v>
      </c>
    </row>
    <row r="210" spans="2:6" hidden="1" outlineLevel="1" x14ac:dyDescent="0.45">
      <c r="B210" s="58" t="s">
        <v>226</v>
      </c>
      <c r="C210" s="59" cm="1">
        <f t="array" aca="1" ref="C210" ca="1">IF(ISNUMBER(_xll.VoseSimPercentile(With_58,0.1)),_xll.VoseSimPercentile(With_58,0.1),NA())</f>
        <v>101</v>
      </c>
      <c r="D210" s="59" cm="1">
        <f t="array" aca="1" ref="D210" ca="1">IF(ISNUMBER(_xll.VoseSimPercentile(With_58,0.5)),_xll.VoseSimPercentile(With_58,0.5),NA())</f>
        <v>114</v>
      </c>
      <c r="E210" s="59" cm="1">
        <f t="array" aca="1" ref="E210" ca="1">IF(ISNUMBER(_xll.VoseSimPercentile(With_58,0.9)),_xll.VoseSimPercentile(With_58,0.9),NA())</f>
        <v>128</v>
      </c>
      <c r="F210" s="59" cm="1">
        <f t="array" aca="1" ref="F210" ca="1">IF(ISNUMBER(_xll.VoseSimMean(With_58)),_xll.VoseSimMean(With_58),NA())</f>
        <v>114.33966698334916</v>
      </c>
    </row>
    <row r="211" spans="2:6" hidden="1" outlineLevel="1" x14ac:dyDescent="0.45">
      <c r="B211" s="58" t="s">
        <v>227</v>
      </c>
      <c r="C211" s="59" cm="1">
        <f t="array" aca="1" ref="C211" ca="1">IF(ISNUMBER(_xll.VoseSimPercentile(With_59,0.1)),_xll.VoseSimPercentile(With_59,0.1),NA())</f>
        <v>101</v>
      </c>
      <c r="D211" s="59" cm="1">
        <f t="array" aca="1" ref="D211" ca="1">IF(ISNUMBER(_xll.VoseSimPercentile(With_59,0.5)),_xll.VoseSimPercentile(With_59,0.5),NA())</f>
        <v>115</v>
      </c>
      <c r="E211" s="59" cm="1">
        <f t="array" aca="1" ref="E211" ca="1">IF(ISNUMBER(_xll.VoseSimPercentile(With_59,0.9)),_xll.VoseSimPercentile(With_59,0.9),NA())</f>
        <v>129</v>
      </c>
      <c r="F211" s="59" cm="1">
        <f t="array" aca="1" ref="F211" ca="1">IF(ISNUMBER(_xll.VoseSimMean(With_59)),_xll.VoseSimMean(With_59),NA())</f>
        <v>115.17655882794139</v>
      </c>
    </row>
    <row r="212" spans="2:6" hidden="1" outlineLevel="1" x14ac:dyDescent="0.45">
      <c r="B212" s="58" t="s">
        <v>228</v>
      </c>
      <c r="C212" s="59" cm="1">
        <f t="array" aca="1" ref="C212" ca="1">IF(ISNUMBER(_xll.VoseSimPercentile(With_60,0.1)),_xll.VoseSimPercentile(With_60,0.1),NA())</f>
        <v>102</v>
      </c>
      <c r="D212" s="59" cm="1">
        <f t="array" aca="1" ref="D212" ca="1">IF(ISNUMBER(_xll.VoseSimPercentile(With_60,0.5)),_xll.VoseSimPercentile(With_60,0.5),NA())</f>
        <v>116</v>
      </c>
      <c r="E212" s="59" cm="1">
        <f t="array" aca="1" ref="E212" ca="1">IF(ISNUMBER(_xll.VoseSimPercentile(With_60,0.9)),_xll.VoseSimPercentile(With_60,0.9),NA())</f>
        <v>131</v>
      </c>
      <c r="F212" s="59" cm="1">
        <f t="array" aca="1" ref="F212" ca="1">IF(ISNUMBER(_xll.VoseSimMean(With_60)),_xll.VoseSimMean(With_60),NA())</f>
        <v>116.35376768838442</v>
      </c>
    </row>
    <row r="213" spans="2:6" hidden="1" outlineLevel="1" x14ac:dyDescent="0.45">
      <c r="B213" s="58" t="s">
        <v>229</v>
      </c>
      <c r="C213" s="59" cm="1">
        <f t="array" aca="1" ref="C213" ca="1">IF(ISNUMBER(_xll.VoseSimPercentile(With_61,0.1)),_xll.VoseSimPercentile(With_61,0.1),NA())</f>
        <v>103</v>
      </c>
      <c r="D213" s="59" cm="1">
        <f t="array" aca="1" ref="D213" ca="1">IF(ISNUMBER(_xll.VoseSimPercentile(With_61,0.5)),_xll.VoseSimPercentile(With_61,0.5),NA())</f>
        <v>117</v>
      </c>
      <c r="E213" s="59" cm="1">
        <f t="array" aca="1" ref="E213" ca="1">IF(ISNUMBER(_xll.VoseSimPercentile(With_61,0.9)),_xll.VoseSimPercentile(With_61,0.9),NA())</f>
        <v>131</v>
      </c>
      <c r="F213" s="59" cm="1">
        <f t="array" aca="1" ref="F213" ca="1">IF(ISNUMBER(_xll.VoseSimMean(With_61)),_xll.VoseSimMean(With_61),NA())</f>
        <v>117.18670933546677</v>
      </c>
    </row>
    <row r="214" spans="2:6" hidden="1" outlineLevel="1" x14ac:dyDescent="0.45">
      <c r="B214" s="58" t="s">
        <v>230</v>
      </c>
      <c r="C214" s="59" cm="1">
        <f t="array" aca="1" ref="C214" ca="1">IF(ISNUMBER(_xll.VoseSimPercentile(With_62,0.1)),_xll.VoseSimPercentile(With_62,0.1),NA())</f>
        <v>104</v>
      </c>
      <c r="D214" s="59" cm="1">
        <f t="array" aca="1" ref="D214" ca="1">IF(ISNUMBER(_xll.VoseSimPercentile(With_62,0.5)),_xll.VoseSimPercentile(With_62,0.5),NA())</f>
        <v>118</v>
      </c>
      <c r="E214" s="59" cm="1">
        <f t="array" aca="1" ref="E214" ca="1">IF(ISNUMBER(_xll.VoseSimPercentile(With_62,0.9)),_xll.VoseSimPercentile(With_62,0.9),NA())</f>
        <v>132</v>
      </c>
      <c r="F214" s="59" cm="1">
        <f t="array" aca="1" ref="F214" ca="1">IF(ISNUMBER(_xll.VoseSimMean(With_62)),_xll.VoseSimMean(With_62),NA())</f>
        <v>118.09245462273114</v>
      </c>
    </row>
    <row r="215" spans="2:6" hidden="1" outlineLevel="1" x14ac:dyDescent="0.45">
      <c r="B215" s="58" t="s">
        <v>231</v>
      </c>
      <c r="C215" s="59" cm="1">
        <f t="array" aca="1" ref="C215" ca="1">IF(ISNUMBER(_xll.VoseSimPercentile(With_63,0.1)),_xll.VoseSimPercentile(With_63,0.1),NA())</f>
        <v>105</v>
      </c>
      <c r="D215" s="59" cm="1">
        <f t="array" aca="1" ref="D215" ca="1">IF(ISNUMBER(_xll.VoseSimPercentile(With_63,0.5)),_xll.VoseSimPercentile(With_63,0.5),NA())</f>
        <v>119</v>
      </c>
      <c r="E215" s="59" cm="1">
        <f t="array" aca="1" ref="E215" ca="1">IF(ISNUMBER(_xll.VoseSimPercentile(With_63,0.9)),_xll.VoseSimPercentile(With_63,0.9),NA())</f>
        <v>133</v>
      </c>
      <c r="F215" s="59" cm="1">
        <f t="array" aca="1" ref="F215" ca="1">IF(ISNUMBER(_xll.VoseSimMean(With_63)),_xll.VoseSimMean(With_63),NA())</f>
        <v>118.92804640232012</v>
      </c>
    </row>
    <row r="216" spans="2:6" hidden="1" outlineLevel="1" x14ac:dyDescent="0.45">
      <c r="B216" s="58" t="s">
        <v>232</v>
      </c>
      <c r="C216" s="59" cm="1">
        <f t="array" aca="1" ref="C216" ca="1">IF(ISNUMBER(_xll.VoseSimPercentile(With_64,0.1)),_xll.VoseSimPercentile(With_64,0.1),NA())</f>
        <v>106</v>
      </c>
      <c r="D216" s="59" cm="1">
        <f t="array" aca="1" ref="D216" ca="1">IF(ISNUMBER(_xll.VoseSimPercentile(With_64,0.5)),_xll.VoseSimPercentile(With_64,0.5),NA())</f>
        <v>120</v>
      </c>
      <c r="E216" s="59" cm="1">
        <f t="array" aca="1" ref="E216" ca="1">IF(ISNUMBER(_xll.VoseSimPercentile(With_64,0.9)),_xll.VoseSimPercentile(With_64,0.9),NA())</f>
        <v>134</v>
      </c>
      <c r="F216" s="59" cm="1">
        <f t="array" aca="1" ref="F216" ca="1">IF(ISNUMBER(_xll.VoseSimMean(With_64)),_xll.VoseSimMean(With_64),NA())</f>
        <v>119.84704235211761</v>
      </c>
    </row>
    <row r="217" spans="2:6" hidden="1" outlineLevel="1" x14ac:dyDescent="0.45">
      <c r="B217" s="58" t="s">
        <v>233</v>
      </c>
      <c r="C217" s="59" cm="1">
        <f t="array" aca="1" ref="C217" ca="1">IF(ISNUMBER(_xll.VoseSimPercentile(With_65,0.1)),_xll.VoseSimPercentile(With_65,0.1),NA())</f>
        <v>107</v>
      </c>
      <c r="D217" s="59" cm="1">
        <f t="array" aca="1" ref="D217" ca="1">IF(ISNUMBER(_xll.VoseSimPercentile(With_65,0.5)),_xll.VoseSimPercentile(With_65,0.5),NA())</f>
        <v>121</v>
      </c>
      <c r="E217" s="59" cm="1">
        <f t="array" aca="1" ref="E217" ca="1">IF(ISNUMBER(_xll.VoseSimPercentile(With_65,0.9)),_xll.VoseSimPercentile(With_65,0.9),NA())</f>
        <v>135</v>
      </c>
      <c r="F217" s="59" cm="1">
        <f t="array" aca="1" ref="F217" ca="1">IF(ISNUMBER(_xll.VoseSimMean(With_65)),_xll.VoseSimMean(With_65),NA())</f>
        <v>120.77348867443372</v>
      </c>
    </row>
    <row r="218" spans="2:6" hidden="1" outlineLevel="1" x14ac:dyDescent="0.45">
      <c r="B218" s="58" t="s">
        <v>234</v>
      </c>
      <c r="C218" s="59" cm="1">
        <f t="array" aca="1" ref="C218" ca="1">IF(ISNUMBER(_xll.VoseSimPercentile(With_66,0.1)),_xll.VoseSimPercentile(With_66,0.1),NA())</f>
        <v>108</v>
      </c>
      <c r="D218" s="59" cm="1">
        <f t="array" aca="1" ref="D218" ca="1">IF(ISNUMBER(_xll.VoseSimPercentile(With_66,0.5)),_xll.VoseSimPercentile(With_66,0.5),NA())</f>
        <v>122</v>
      </c>
      <c r="E218" s="59" cm="1">
        <f t="array" aca="1" ref="E218" ca="1">IF(ISNUMBER(_xll.VoseSimPercentile(With_66,0.9)),_xll.VoseSimPercentile(With_66,0.9),NA())</f>
        <v>136</v>
      </c>
      <c r="F218" s="59" cm="1">
        <f t="array" aca="1" ref="F218" ca="1">IF(ISNUMBER(_xll.VoseSimMean(With_66)),_xll.VoseSimMean(With_66),NA())</f>
        <v>121.6242812140607</v>
      </c>
    </row>
    <row r="219" spans="2:6" hidden="1" outlineLevel="1" x14ac:dyDescent="0.45">
      <c r="B219" s="58" t="s">
        <v>235</v>
      </c>
      <c r="C219" s="59" cm="1">
        <f t="array" aca="1" ref="C219" ca="1">IF(ISNUMBER(_xll.VoseSimPercentile(With_67,0.1)),_xll.VoseSimPercentile(With_67,0.1),NA())</f>
        <v>109</v>
      </c>
      <c r="D219" s="59" cm="1">
        <f t="array" aca="1" ref="D219" ca="1">IF(ISNUMBER(_xll.VoseSimPercentile(With_67,0.5)),_xll.VoseSimPercentile(With_67,0.5),NA())</f>
        <v>122</v>
      </c>
      <c r="E219" s="59" cm="1">
        <f t="array" aca="1" ref="E219" ca="1">IF(ISNUMBER(_xll.VoseSimPercentile(With_67,0.9)),_xll.VoseSimPercentile(With_67,0.9),NA())</f>
        <v>136</v>
      </c>
      <c r="F219" s="59" cm="1">
        <f t="array" aca="1" ref="F219" ca="1">IF(ISNUMBER(_xll.VoseSimMean(With_67)),_xll.VoseSimMean(With_67),NA())</f>
        <v>122.56742837141857</v>
      </c>
    </row>
    <row r="220" spans="2:6" hidden="1" outlineLevel="1" x14ac:dyDescent="0.45">
      <c r="B220" s="58" t="s">
        <v>236</v>
      </c>
      <c r="C220" s="59" cm="1">
        <f t="array" aca="1" ref="C220" ca="1">IF(ISNUMBER(_xll.VoseSimPercentile(With_68,0.1)),_xll.VoseSimPercentile(With_68,0.1),NA())</f>
        <v>109</v>
      </c>
      <c r="D220" s="59" cm="1">
        <f t="array" aca="1" ref="D220" ca="1">IF(ISNUMBER(_xll.VoseSimPercentile(With_68,0.5)),_xll.VoseSimPercentile(With_68,0.5),NA())</f>
        <v>123</v>
      </c>
      <c r="E220" s="59" cm="1">
        <f t="array" aca="1" ref="E220" ca="1">IF(ISNUMBER(_xll.VoseSimPercentile(With_68,0.9)),_xll.VoseSimPercentile(With_68,0.9),NA())</f>
        <v>138</v>
      </c>
      <c r="F220" s="59" cm="1">
        <f t="array" aca="1" ref="F220" ca="1">IF(ISNUMBER(_xll.VoseSimMean(With_68)),_xll.VoseSimMean(With_68),NA())</f>
        <v>123.39381969098454</v>
      </c>
    </row>
    <row r="221" spans="2:6" hidden="1" outlineLevel="1" x14ac:dyDescent="0.45">
      <c r="B221" s="58" t="s">
        <v>237</v>
      </c>
      <c r="C221" s="59" cm="1">
        <f t="array" aca="1" ref="C221" ca="1">IF(ISNUMBER(_xll.VoseSimPercentile(With_69,0.1)),_xll.VoseSimPercentile(With_69,0.1),NA())</f>
        <v>110</v>
      </c>
      <c r="D221" s="59" cm="1">
        <f t="array" aca="1" ref="D221" ca="1">IF(ISNUMBER(_xll.VoseSimPercentile(With_69,0.5)),_xll.VoseSimPercentile(With_69,0.5),NA())</f>
        <v>124</v>
      </c>
      <c r="E221" s="59" cm="1">
        <f t="array" aca="1" ref="E221" ca="1">IF(ISNUMBER(_xll.VoseSimPercentile(With_69,0.9)),_xll.VoseSimPercentile(With_69,0.9),NA())</f>
        <v>139</v>
      </c>
      <c r="F221" s="59" cm="1">
        <f t="array" aca="1" ref="F221" ca="1">IF(ISNUMBER(_xll.VoseSimMean(With_69)),_xll.VoseSimMean(With_69),NA())</f>
        <v>124.34456722836141</v>
      </c>
    </row>
    <row r="222" spans="2:6" hidden="1" outlineLevel="1" x14ac:dyDescent="0.45">
      <c r="B222" s="58" t="s">
        <v>238</v>
      </c>
      <c r="C222" s="59" cm="1">
        <f t="array" aca="1" ref="C222" ca="1">IF(ISNUMBER(_xll.VoseSimPercentile(With_70,0.1)),_xll.VoseSimPercentile(With_70,0.1),NA())</f>
        <v>111</v>
      </c>
      <c r="D222" s="59" cm="1">
        <f t="array" aca="1" ref="D222" ca="1">IF(ISNUMBER(_xll.VoseSimPercentile(With_70,0.5)),_xll.VoseSimPercentile(With_70,0.5),NA())</f>
        <v>125</v>
      </c>
      <c r="E222" s="59" cm="1">
        <f t="array" aca="1" ref="E222" ca="1">IF(ISNUMBER(_xll.VoseSimPercentile(With_70,0.9)),_xll.VoseSimPercentile(With_70,0.9),NA())</f>
        <v>140</v>
      </c>
      <c r="F222" s="59" cm="1">
        <f t="array" aca="1" ref="F222" ca="1">IF(ISNUMBER(_xll.VoseSimMean(With_70)),_xll.VoseSimMean(With_70),NA())</f>
        <v>125.32386619330967</v>
      </c>
    </row>
    <row r="223" spans="2:6" hidden="1" outlineLevel="1" x14ac:dyDescent="0.45">
      <c r="B223" s="58" t="s">
        <v>239</v>
      </c>
      <c r="C223" s="59" cm="1">
        <f t="array" aca="1" ref="C223" ca="1">IF(ISNUMBER(_xll.VoseSimPercentile(With_71,0.1)),_xll.VoseSimPercentile(With_71,0.1),NA())</f>
        <v>111</v>
      </c>
      <c r="D223" s="59" cm="1">
        <f t="array" aca="1" ref="D223" ca="1">IF(ISNUMBER(_xll.VoseSimPercentile(With_71,0.5)),_xll.VoseSimPercentile(With_71,0.5),NA())</f>
        <v>126</v>
      </c>
      <c r="E223" s="59" cm="1">
        <f t="array" aca="1" ref="E223" ca="1">IF(ISNUMBER(_xll.VoseSimPercentile(With_71,0.9)),_xll.VoseSimPercentile(With_71,0.9),NA())</f>
        <v>141</v>
      </c>
      <c r="F223" s="59" cm="1">
        <f t="array" aca="1" ref="F223" ca="1">IF(ISNUMBER(_xll.VoseSimMean(With_71)),_xll.VoseSimMean(With_71),NA())</f>
        <v>126.12505625281264</v>
      </c>
    </row>
    <row r="224" spans="2:6" hidden="1" outlineLevel="1" x14ac:dyDescent="0.45">
      <c r="B224" s="58" t="s">
        <v>240</v>
      </c>
      <c r="C224" s="59" cm="1">
        <f t="array" aca="1" ref="C224" ca="1">IF(ISNUMBER(_xll.VoseSimPercentile(With_72,0.1)),_xll.VoseSimPercentile(With_72,0.1),NA())</f>
        <v>113</v>
      </c>
      <c r="D224" s="59" cm="1">
        <f t="array" aca="1" ref="D224" ca="1">IF(ISNUMBER(_xll.VoseSimPercentile(With_72,0.5)),_xll.VoseSimPercentile(With_72,0.5),NA())</f>
        <v>127</v>
      </c>
      <c r="E224" s="59" cm="1">
        <f t="array" aca="1" ref="E224" ca="1">IF(ISNUMBER(_xll.VoseSimPercentile(With_72,0.9)),_xll.VoseSimPercentile(With_72,0.9),NA())</f>
        <v>142</v>
      </c>
      <c r="F224" s="59" cm="1">
        <f t="array" aca="1" ref="F224" ca="1">IF(ISNUMBER(_xll.VoseSimMean(With_72)),_xll.VoseSimMean(With_72),NA())</f>
        <v>126.98539926996349</v>
      </c>
    </row>
    <row r="225" spans="2:6" hidden="1" outlineLevel="1" x14ac:dyDescent="0.45">
      <c r="B225" s="58" t="s">
        <v>241</v>
      </c>
      <c r="C225" s="59" cm="1">
        <f t="array" aca="1" ref="C225" ca="1">IF(ISNUMBER(_xll.VoseSimPercentile(With_73,0.1)),_xll.VoseSimPercentile(With_73,0.1),NA())</f>
        <v>114</v>
      </c>
      <c r="D225" s="59" cm="1">
        <f t="array" aca="1" ref="D225" ca="1">IF(ISNUMBER(_xll.VoseSimPercentile(With_73,0.5)),_xll.VoseSimPercentile(With_73,0.5),NA())</f>
        <v>128</v>
      </c>
      <c r="E225" s="59" cm="1">
        <f t="array" aca="1" ref="E225" ca="1">IF(ISNUMBER(_xll.VoseSimPercentile(With_73,0.9)),_xll.VoseSimPercentile(With_73,0.9),NA())</f>
        <v>142</v>
      </c>
      <c r="F225" s="59" cm="1">
        <f t="array" aca="1" ref="F225" ca="1">IF(ISNUMBER(_xll.VoseSimMean(With_73)),_xll.VoseSimMean(With_73),NA())</f>
        <v>127.984799239962</v>
      </c>
    </row>
    <row r="226" spans="2:6" hidden="1" outlineLevel="1" x14ac:dyDescent="0.45">
      <c r="B226" s="58" t="s">
        <v>242</v>
      </c>
      <c r="C226" s="59" cm="1">
        <f t="array" aca="1" ref="C226" ca="1">IF(ISNUMBER(_xll.VoseSimPercentile(With_74,0.1)),_xll.VoseSimPercentile(With_74,0.1),NA())</f>
        <v>115</v>
      </c>
      <c r="D226" s="59" cm="1">
        <f t="array" aca="1" ref="D226" ca="1">IF(ISNUMBER(_xll.VoseSimPercentile(With_74,0.5)),_xll.VoseSimPercentile(With_74,0.5),NA())</f>
        <v>129</v>
      </c>
      <c r="E226" s="59" cm="1">
        <f t="array" aca="1" ref="E226" ca="1">IF(ISNUMBER(_xll.VoseSimPercentile(With_74,0.9)),_xll.VoseSimPercentile(With_74,0.9),NA())</f>
        <v>144</v>
      </c>
      <c r="F226" s="59" cm="1">
        <f t="array" aca="1" ref="F226" ca="1">IF(ISNUMBER(_xll.VoseSimMean(With_74)),_xll.VoseSimMean(With_74),NA())</f>
        <v>128.97524876243813</v>
      </c>
    </row>
    <row r="227" spans="2:6" hidden="1" outlineLevel="1" x14ac:dyDescent="0.45">
      <c r="B227" s="58" t="s">
        <v>243</v>
      </c>
      <c r="C227" s="59" cm="1">
        <f t="array" aca="1" ref="C227" ca="1">IF(ISNUMBER(_xll.VoseSimPercentile(With_75,0.1)),_xll.VoseSimPercentile(With_75,0.1),NA())</f>
        <v>115</v>
      </c>
      <c r="D227" s="59" cm="1">
        <f t="array" aca="1" ref="D227" ca="1">IF(ISNUMBER(_xll.VoseSimPercentile(With_75,0.5)),_xll.VoseSimPercentile(With_75,0.5),NA())</f>
        <v>130</v>
      </c>
      <c r="E227" s="59" cm="1">
        <f t="array" aca="1" ref="E227" ca="1">IF(ISNUMBER(_xll.VoseSimPercentile(With_75,0.9)),_xll.VoseSimPercentile(With_75,0.9),NA())</f>
        <v>144</v>
      </c>
      <c r="F227" s="59" cm="1">
        <f t="array" aca="1" ref="F227" ca="1">IF(ISNUMBER(_xll.VoseSimMean(With_75)),_xll.VoseSimMean(With_75),NA())</f>
        <v>129.81699084954246</v>
      </c>
    </row>
    <row r="228" spans="2:6" hidden="1" outlineLevel="1" x14ac:dyDescent="0.45">
      <c r="B228" s="58" t="s">
        <v>244</v>
      </c>
      <c r="C228" s="59" cm="1">
        <f t="array" aca="1" ref="C228" ca="1">IF(ISNUMBER(_xll.VoseSimPercentile(With_76,0.1)),_xll.VoseSimPercentile(With_76,0.1),NA())</f>
        <v>116</v>
      </c>
      <c r="D228" s="59" cm="1">
        <f t="array" aca="1" ref="D228" ca="1">IF(ISNUMBER(_xll.VoseSimPercentile(With_76,0.5)),_xll.VoseSimPercentile(With_76,0.5),NA())</f>
        <v>130</v>
      </c>
      <c r="E228" s="59" cm="1">
        <f t="array" aca="1" ref="E228" ca="1">IF(ISNUMBER(_xll.VoseSimPercentile(With_76,0.9)),_xll.VoseSimPercentile(With_76,0.9),NA())</f>
        <v>145</v>
      </c>
      <c r="F228" s="59" cm="1">
        <f t="array" aca="1" ref="F228" ca="1">IF(ISNUMBER(_xll.VoseSimMean(With_76)),_xll.VoseSimMean(With_76),NA())</f>
        <v>130.60458022901145</v>
      </c>
    </row>
    <row r="229" spans="2:6" hidden="1" outlineLevel="1" x14ac:dyDescent="0.45">
      <c r="B229" s="58" t="s">
        <v>245</v>
      </c>
      <c r="C229" s="59" cm="1">
        <f t="array" aca="1" ref="C229" ca="1">IF(ISNUMBER(_xll.VoseSimPercentile(With_77,0.1)),_xll.VoseSimPercentile(With_77,0.1),NA())</f>
        <v>117</v>
      </c>
      <c r="D229" s="59" cm="1">
        <f t="array" aca="1" ref="D229" ca="1">IF(ISNUMBER(_xll.VoseSimPercentile(With_77,0.5)),_xll.VoseSimPercentile(With_77,0.5),NA())</f>
        <v>131</v>
      </c>
      <c r="E229" s="59" cm="1">
        <f t="array" aca="1" ref="E229" ca="1">IF(ISNUMBER(_xll.VoseSimPercentile(With_77,0.9)),_xll.VoseSimPercentile(With_77,0.9),NA())</f>
        <v>146</v>
      </c>
      <c r="F229" s="59" cm="1">
        <f t="array" aca="1" ref="F229" ca="1">IF(ISNUMBER(_xll.VoseSimMean(With_77)),_xll.VoseSimMean(With_77),NA())</f>
        <v>131.42077103855192</v>
      </c>
    </row>
    <row r="230" spans="2:6" hidden="1" outlineLevel="1" x14ac:dyDescent="0.45">
      <c r="B230" s="58" t="s">
        <v>246</v>
      </c>
      <c r="C230" s="59" cm="1">
        <f t="array" aca="1" ref="C230" ca="1">IF(ISNUMBER(_xll.VoseSimPercentile(With_78,0.1)),_xll.VoseSimPercentile(With_78,0.1),NA())</f>
        <v>118</v>
      </c>
      <c r="D230" s="59" cm="1">
        <f t="array" aca="1" ref="D230" ca="1">IF(ISNUMBER(_xll.VoseSimPercentile(With_78,0.5)),_xll.VoseSimPercentile(With_78,0.5),NA())</f>
        <v>132</v>
      </c>
      <c r="E230" s="59" cm="1">
        <f t="array" aca="1" ref="E230" ca="1">IF(ISNUMBER(_xll.VoseSimPercentile(With_78,0.9)),_xll.VoseSimPercentile(With_78,0.9),NA())</f>
        <v>147</v>
      </c>
      <c r="F230" s="59" cm="1">
        <f t="array" aca="1" ref="F230" ca="1">IF(ISNUMBER(_xll.VoseSimMean(With_78)),_xll.VoseSimMean(With_78),NA())</f>
        <v>132.40147007350367</v>
      </c>
    </row>
    <row r="231" spans="2:6" hidden="1" outlineLevel="1" x14ac:dyDescent="0.45">
      <c r="B231" s="58" t="s">
        <v>247</v>
      </c>
      <c r="C231" s="59" cm="1">
        <f t="array" aca="1" ref="C231" ca="1">IF(ISNUMBER(_xll.VoseSimPercentile(With_79,0.1)),_xll.VoseSimPercentile(With_79,0.1),NA())</f>
        <v>119</v>
      </c>
      <c r="D231" s="59" cm="1">
        <f t="array" aca="1" ref="D231" ca="1">IF(ISNUMBER(_xll.VoseSimPercentile(With_79,0.5)),_xll.VoseSimPercentile(With_79,0.5),NA())</f>
        <v>133</v>
      </c>
      <c r="E231" s="59" cm="1">
        <f t="array" aca="1" ref="E231" ca="1">IF(ISNUMBER(_xll.VoseSimPercentile(With_79,0.9)),_xll.VoseSimPercentile(With_79,0.9),NA())</f>
        <v>148</v>
      </c>
      <c r="F231" s="59" cm="1">
        <f t="array" aca="1" ref="F231" ca="1">IF(ISNUMBER(_xll.VoseSimMean(With_79)),_xll.VoseSimMean(With_79),NA())</f>
        <v>133.44607230361518</v>
      </c>
    </row>
    <row r="232" spans="2:6" hidden="1" outlineLevel="1" x14ac:dyDescent="0.45">
      <c r="B232" s="58" t="s">
        <v>248</v>
      </c>
      <c r="C232" s="59" cm="1">
        <f t="array" aca="1" ref="C232" ca="1">IF(ISNUMBER(_xll.VoseSimPercentile(With_80,0.1)),_xll.VoseSimPercentile(With_80,0.1),NA())</f>
        <v>120</v>
      </c>
      <c r="D232" s="59" cm="1">
        <f t="array" aca="1" ref="D232" ca="1">IF(ISNUMBER(_xll.VoseSimPercentile(With_80,0.5)),_xll.VoseSimPercentile(With_80,0.5),NA())</f>
        <v>134</v>
      </c>
      <c r="E232" s="59" cm="1">
        <f t="array" aca="1" ref="E232" ca="1">IF(ISNUMBER(_xll.VoseSimPercentile(With_80,0.9)),_xll.VoseSimPercentile(With_80,0.9),NA())</f>
        <v>149</v>
      </c>
      <c r="F232" s="59" cm="1">
        <f t="array" aca="1" ref="F232" ca="1">IF(ISNUMBER(_xll.VoseSimMean(With_80)),_xll.VoseSimMean(With_80),NA())</f>
        <v>134.27031351567578</v>
      </c>
    </row>
    <row r="233" spans="2:6" hidden="1" outlineLevel="1" x14ac:dyDescent="0.45">
      <c r="B233" s="58" t="s">
        <v>249</v>
      </c>
      <c r="C233" s="59" cm="1">
        <f t="array" aca="1" ref="C233" ca="1">IF(ISNUMBER(_xll.VoseSimPercentile(With_81,0.1)),_xll.VoseSimPercentile(With_81,0.1),NA())</f>
        <v>121</v>
      </c>
      <c r="D233" s="59" cm="1">
        <f t="array" aca="1" ref="D233" ca="1">IF(ISNUMBER(_xll.VoseSimPercentile(With_81,0.5)),_xll.VoseSimPercentile(With_81,0.5),NA())</f>
        <v>135</v>
      </c>
      <c r="E233" s="59" cm="1">
        <f t="array" aca="1" ref="E233" ca="1">IF(ISNUMBER(_xll.VoseSimPercentile(With_81,0.9)),_xll.VoseSimPercentile(With_81,0.9),NA())</f>
        <v>150</v>
      </c>
      <c r="F233" s="59" cm="1">
        <f t="array" aca="1" ref="F233" ca="1">IF(ISNUMBER(_xll.VoseSimMean(With_81)),_xll.VoseSimMean(With_81),NA())</f>
        <v>135.44537226861343</v>
      </c>
    </row>
    <row r="234" spans="2:6" hidden="1" outlineLevel="1" x14ac:dyDescent="0.45">
      <c r="B234" s="58" t="s">
        <v>250</v>
      </c>
      <c r="C234" s="59" cm="1">
        <f t="array" aca="1" ref="C234" ca="1">IF(ISNUMBER(_xll.VoseSimPercentile(With_82,0.1)),_xll.VoseSimPercentile(With_82,0.1),NA())</f>
        <v>121</v>
      </c>
      <c r="D234" s="59" cm="1">
        <f t="array" aca="1" ref="D234" ca="1">IF(ISNUMBER(_xll.VoseSimPercentile(With_82,0.5)),_xll.VoseSimPercentile(With_82,0.5),NA())</f>
        <v>136</v>
      </c>
      <c r="E234" s="59" cm="1">
        <f t="array" aca="1" ref="E234" ca="1">IF(ISNUMBER(_xll.VoseSimPercentile(With_82,0.9)),_xll.VoseSimPercentile(With_82,0.9),NA())</f>
        <v>151</v>
      </c>
      <c r="F234" s="59" cm="1">
        <f t="array" aca="1" ref="F234" ca="1">IF(ISNUMBER(_xll.VoseSimMean(With_82)),_xll.VoseSimMean(With_82),NA())</f>
        <v>136.05340267013349</v>
      </c>
    </row>
    <row r="235" spans="2:6" hidden="1" outlineLevel="1" x14ac:dyDescent="0.45">
      <c r="B235" s="58" t="s">
        <v>251</v>
      </c>
      <c r="C235" s="59" cm="1">
        <f t="array" aca="1" ref="C235" ca="1">IF(ISNUMBER(_xll.VoseSimPercentile(With_83,0.1)),_xll.VoseSimPercentile(With_83,0.1),NA())</f>
        <v>122</v>
      </c>
      <c r="D235" s="59" cm="1">
        <f t="array" aca="1" ref="D235" ca="1">IF(ISNUMBER(_xll.VoseSimPercentile(With_83,0.5)),_xll.VoseSimPercentile(With_83,0.5),NA())</f>
        <v>137</v>
      </c>
      <c r="E235" s="59" cm="1">
        <f t="array" aca="1" ref="E235" ca="1">IF(ISNUMBER(_xll.VoseSimPercentile(With_83,0.9)),_xll.VoseSimPercentile(With_83,0.9),NA())</f>
        <v>152</v>
      </c>
      <c r="F235" s="59" cm="1">
        <f t="array" aca="1" ref="F235" ca="1">IF(ISNUMBER(_xll.VoseSimMean(With_83)),_xll.VoseSimMean(With_83),NA())</f>
        <v>137.15715785789288</v>
      </c>
    </row>
    <row r="236" spans="2:6" hidden="1" outlineLevel="1" x14ac:dyDescent="0.45">
      <c r="B236" s="58" t="s">
        <v>252</v>
      </c>
      <c r="C236" s="59" cm="1">
        <f t="array" aca="1" ref="C236" ca="1">IF(ISNUMBER(_xll.VoseSimPercentile(With_84,0.1)),_xll.VoseSimPercentile(With_84,0.1),NA())</f>
        <v>123</v>
      </c>
      <c r="D236" s="59" cm="1">
        <f t="array" aca="1" ref="D236" ca="1">IF(ISNUMBER(_xll.VoseSimPercentile(With_84,0.5)),_xll.VoseSimPercentile(With_84,0.5),NA())</f>
        <v>138</v>
      </c>
      <c r="E236" s="59" cm="1">
        <f t="array" aca="1" ref="E236" ca="1">IF(ISNUMBER(_xll.VoseSimPercentile(With_84,0.9)),_xll.VoseSimPercentile(With_84,0.9),NA())</f>
        <v>153</v>
      </c>
      <c r="F236" s="59" cm="1">
        <f t="array" aca="1" ref="F236" ca="1">IF(ISNUMBER(_xll.VoseSimMean(With_84)),_xll.VoseSimMean(With_84),NA())</f>
        <v>138.07930396519825</v>
      </c>
    </row>
    <row r="237" spans="2:6" hidden="1" outlineLevel="1" x14ac:dyDescent="0.45">
      <c r="B237" s="58" t="s">
        <v>253</v>
      </c>
      <c r="C237" s="59" cm="1">
        <f t="array" aca="1" ref="C237" ca="1">IF(ISNUMBER(_xll.VoseSimPercentile(With_85,0.1)),_xll.VoseSimPercentile(With_85,0.1),NA())</f>
        <v>124</v>
      </c>
      <c r="D237" s="59" cm="1">
        <f t="array" aca="1" ref="D237" ca="1">IF(ISNUMBER(_xll.VoseSimPercentile(With_85,0.5)),_xll.VoseSimPercentile(With_85,0.5),NA())</f>
        <v>139</v>
      </c>
      <c r="E237" s="59" cm="1">
        <f t="array" aca="1" ref="E237" ca="1">IF(ISNUMBER(_xll.VoseSimPercentile(With_85,0.9)),_xll.VoseSimPercentile(With_85,0.9),NA())</f>
        <v>154</v>
      </c>
      <c r="F237" s="59" cm="1">
        <f t="array" aca="1" ref="F237" ca="1">IF(ISNUMBER(_xll.VoseSimMean(With_85)),_xll.VoseSimMean(With_85),NA())</f>
        <v>138.88104405220261</v>
      </c>
    </row>
    <row r="238" spans="2:6" hidden="1" outlineLevel="1" x14ac:dyDescent="0.45">
      <c r="B238" s="58" t="s">
        <v>254</v>
      </c>
      <c r="C238" s="59" cm="1">
        <f t="array" aca="1" ref="C238" ca="1">IF(ISNUMBER(_xll.VoseSimPercentile(With_86,0.1)),_xll.VoseSimPercentile(With_86,0.1),NA())</f>
        <v>125</v>
      </c>
      <c r="D238" s="59" cm="1">
        <f t="array" aca="1" ref="D238" ca="1">IF(ISNUMBER(_xll.VoseSimPercentile(With_86,0.5)),_xll.VoseSimPercentile(With_86,0.5),NA())</f>
        <v>140</v>
      </c>
      <c r="E238" s="59" cm="1">
        <f t="array" aca="1" ref="E238" ca="1">IF(ISNUMBER(_xll.VoseSimPercentile(With_86,0.9)),_xll.VoseSimPercentile(With_86,0.9),NA())</f>
        <v>155</v>
      </c>
      <c r="F238" s="59" cm="1">
        <f t="array" aca="1" ref="F238" ca="1">IF(ISNUMBER(_xll.VoseSimMean(With_86)),_xll.VoseSimMean(With_86),NA())</f>
        <v>139.83934196709836</v>
      </c>
    </row>
    <row r="239" spans="2:6" hidden="1" outlineLevel="1" x14ac:dyDescent="0.45">
      <c r="B239" s="58" t="s">
        <v>255</v>
      </c>
      <c r="C239" s="59" cm="1">
        <f t="array" aca="1" ref="C239" ca="1">IF(ISNUMBER(_xll.VoseSimPercentile(With_87,0.1)),_xll.VoseSimPercentile(With_87,0.1),NA())</f>
        <v>126</v>
      </c>
      <c r="D239" s="59" cm="1">
        <f t="array" aca="1" ref="D239" ca="1">IF(ISNUMBER(_xll.VoseSimPercentile(With_87,0.5)),_xll.VoseSimPercentile(With_87,0.5),NA())</f>
        <v>140</v>
      </c>
      <c r="E239" s="59" cm="1">
        <f t="array" aca="1" ref="E239" ca="1">IF(ISNUMBER(_xll.VoseSimPercentile(With_87,0.9)),_xll.VoseSimPercentile(With_87,0.9),NA())</f>
        <v>156</v>
      </c>
      <c r="F239" s="59" cm="1">
        <f t="array" aca="1" ref="F239" ca="1">IF(ISNUMBER(_xll.VoseSimMean(With_87)),_xll.VoseSimMean(With_87),NA())</f>
        <v>140.72703635181759</v>
      </c>
    </row>
    <row r="240" spans="2:6" hidden="1" outlineLevel="1" x14ac:dyDescent="0.45">
      <c r="B240" s="58" t="s">
        <v>256</v>
      </c>
      <c r="C240" s="59" cm="1">
        <f t="array" aca="1" ref="C240" ca="1">IF(ISNUMBER(_xll.VoseSimPercentile(With_88,0.1)),_xll.VoseSimPercentile(With_88,0.1),NA())</f>
        <v>127</v>
      </c>
      <c r="D240" s="59" cm="1">
        <f t="array" aca="1" ref="D240" ca="1">IF(ISNUMBER(_xll.VoseSimPercentile(With_88,0.5)),_xll.VoseSimPercentile(With_88,0.5),NA())</f>
        <v>142</v>
      </c>
      <c r="E240" s="59" cm="1">
        <f t="array" aca="1" ref="E240" ca="1">IF(ISNUMBER(_xll.VoseSimPercentile(With_88,0.9)),_xll.VoseSimPercentile(With_88,0.9),NA())</f>
        <v>157</v>
      </c>
      <c r="F240" s="59" cm="1">
        <f t="array" aca="1" ref="F240" ca="1">IF(ISNUMBER(_xll.VoseSimMean(With_88)),_xll.VoseSimMean(With_88),NA())</f>
        <v>141.79278963948198</v>
      </c>
    </row>
    <row r="241" spans="2:6" hidden="1" outlineLevel="1" x14ac:dyDescent="0.45">
      <c r="B241" s="58" t="s">
        <v>257</v>
      </c>
      <c r="C241" s="59" cm="1">
        <f t="array" aca="1" ref="C241" ca="1">IF(ISNUMBER(_xll.VoseSimPercentile(With_89,0.1)),_xll.VoseSimPercentile(With_89,0.1),NA())</f>
        <v>127</v>
      </c>
      <c r="D241" s="59" cm="1">
        <f t="array" aca="1" ref="D241" ca="1">IF(ISNUMBER(_xll.VoseSimPercentile(With_89,0.5)),_xll.VoseSimPercentile(With_89,0.5),NA())</f>
        <v>142</v>
      </c>
      <c r="E241" s="59" cm="1">
        <f t="array" aca="1" ref="E241" ca="1">IF(ISNUMBER(_xll.VoseSimPercentile(With_89,0.9)),_xll.VoseSimPercentile(With_89,0.9),NA())</f>
        <v>158</v>
      </c>
      <c r="F241" s="59" cm="1">
        <f t="array" aca="1" ref="F241" ca="1">IF(ISNUMBER(_xll.VoseSimMean(With_89)),_xll.VoseSimMean(With_89),NA())</f>
        <v>142.37546877343868</v>
      </c>
    </row>
    <row r="242" spans="2:6" hidden="1" outlineLevel="1" x14ac:dyDescent="0.45">
      <c r="B242" s="58" t="s">
        <v>258</v>
      </c>
      <c r="C242" s="59" cm="1">
        <f t="array" aca="1" ref="C242" ca="1">IF(ISNUMBER(_xll.VoseSimPercentile(With_90,0.1)),_xll.VoseSimPercentile(With_90,0.1),NA())</f>
        <v>129</v>
      </c>
      <c r="D242" s="59" cm="1">
        <f t="array" aca="1" ref="D242" ca="1">IF(ISNUMBER(_xll.VoseSimPercentile(With_90,0.5)),_xll.VoseSimPercentile(With_90,0.5),NA())</f>
        <v>144</v>
      </c>
      <c r="E242" s="59" cm="1">
        <f t="array" aca="1" ref="E242" ca="1">IF(ISNUMBER(_xll.VoseSimPercentile(With_90,0.9)),_xll.VoseSimPercentile(With_90,0.9),NA())</f>
        <v>159</v>
      </c>
      <c r="F242" s="59" cm="1">
        <f t="array" aca="1" ref="F242" ca="1">IF(ISNUMBER(_xll.VoseSimMean(With_90)),_xll.VoseSimMean(With_90),NA())</f>
        <v>143.69013450672534</v>
      </c>
    </row>
    <row r="243" spans="2:6" hidden="1" outlineLevel="1" x14ac:dyDescent="0.45">
      <c r="B243" s="58" t="s">
        <v>259</v>
      </c>
      <c r="C243" s="59" cm="1">
        <f t="array" aca="1" ref="C243" ca="1">IF(ISNUMBER(_xll.VoseSimPercentile(With_91,0.1)),_xll.VoseSimPercentile(With_91,0.1),NA())</f>
        <v>129</v>
      </c>
      <c r="D243" s="59" cm="1">
        <f t="array" aca="1" ref="D243" ca="1">IF(ISNUMBER(_xll.VoseSimPercentile(With_91,0.5)),_xll.VoseSimPercentile(With_91,0.5),NA())</f>
        <v>144</v>
      </c>
      <c r="E243" s="59" cm="1">
        <f t="array" aca="1" ref="E243" ca="1">IF(ISNUMBER(_xll.VoseSimPercentile(With_91,0.9)),_xll.VoseSimPercentile(With_91,0.9),NA())</f>
        <v>160</v>
      </c>
      <c r="F243" s="59" cm="1">
        <f t="array" aca="1" ref="F243" ca="1">IF(ISNUMBER(_xll.VoseSimMean(With_91)),_xll.VoseSimMean(With_91),NA())</f>
        <v>144.62033101655084</v>
      </c>
    </row>
    <row r="244" spans="2:6" hidden="1" outlineLevel="1" x14ac:dyDescent="0.45">
      <c r="B244" s="58" t="s">
        <v>260</v>
      </c>
      <c r="C244" s="59" cm="1">
        <f t="array" aca="1" ref="C244" ca="1">IF(ISNUMBER(_xll.VoseSimPercentile(With_92,0.1)),_xll.VoseSimPercentile(With_92,0.1),NA())</f>
        <v>130</v>
      </c>
      <c r="D244" s="59" cm="1">
        <f t="array" aca="1" ref="D244" ca="1">IF(ISNUMBER(_xll.VoseSimPercentile(With_92,0.5)),_xll.VoseSimPercentile(With_92,0.5),NA())</f>
        <v>145</v>
      </c>
      <c r="E244" s="59" cm="1">
        <f t="array" aca="1" ref="E244" ca="1">IF(ISNUMBER(_xll.VoseSimPercentile(With_92,0.9)),_xll.VoseSimPercentile(With_92,0.9),NA())</f>
        <v>161</v>
      </c>
      <c r="F244" s="59" cm="1">
        <f t="array" aca="1" ref="F244" ca="1">IF(ISNUMBER(_xll.VoseSimMean(With_92)),_xll.VoseSimMean(With_92),NA())</f>
        <v>145.34351717585881</v>
      </c>
    </row>
    <row r="245" spans="2:6" hidden="1" outlineLevel="1" x14ac:dyDescent="0.45">
      <c r="B245" s="58" t="s">
        <v>261</v>
      </c>
      <c r="C245" s="59" cm="1">
        <f t="array" aca="1" ref="C245" ca="1">IF(ISNUMBER(_xll.VoseSimPercentile(With_93,0.1)),_xll.VoseSimPercentile(With_93,0.1),NA())</f>
        <v>131</v>
      </c>
      <c r="D245" s="59" cm="1">
        <f t="array" aca="1" ref="D245" ca="1">IF(ISNUMBER(_xll.VoseSimPercentile(With_93,0.5)),_xll.VoseSimPercentile(With_93,0.5),NA())</f>
        <v>146</v>
      </c>
      <c r="E245" s="59" cm="1">
        <f t="array" aca="1" ref="E245" ca="1">IF(ISNUMBER(_xll.VoseSimPercentile(With_93,0.9)),_xll.VoseSimPercentile(With_93,0.9),NA())</f>
        <v>162</v>
      </c>
      <c r="F245" s="59" cm="1">
        <f t="array" aca="1" ref="F245" ca="1">IF(ISNUMBER(_xll.VoseSimMean(With_93)),_xll.VoseSimMean(With_93),NA())</f>
        <v>146.17410870543526</v>
      </c>
    </row>
    <row r="246" spans="2:6" hidden="1" outlineLevel="1" x14ac:dyDescent="0.45">
      <c r="B246" s="58" t="s">
        <v>262</v>
      </c>
      <c r="C246" s="59" cm="1">
        <f t="array" aca="1" ref="C246" ca="1">IF(ISNUMBER(_xll.VoseSimPercentile(With_94,0.1)),_xll.VoseSimPercentile(With_94,0.1),NA())</f>
        <v>131</v>
      </c>
      <c r="D246" s="59" cm="1">
        <f t="array" aca="1" ref="D246" ca="1">IF(ISNUMBER(_xll.VoseSimPercentile(With_94,0.5)),_xll.VoseSimPercentile(With_94,0.5),NA())</f>
        <v>147</v>
      </c>
      <c r="E246" s="59" cm="1">
        <f t="array" aca="1" ref="E246" ca="1">IF(ISNUMBER(_xll.VoseSimPercentile(With_94,0.9)),_xll.VoseSimPercentile(With_94,0.9),NA())</f>
        <v>163</v>
      </c>
      <c r="F246" s="59" cm="1">
        <f t="array" aca="1" ref="F246" ca="1">IF(ISNUMBER(_xll.VoseSimMean(With_94)),_xll.VoseSimMean(With_94),NA())</f>
        <v>147.09325466273313</v>
      </c>
    </row>
    <row r="247" spans="2:6" hidden="1" outlineLevel="1" x14ac:dyDescent="0.45">
      <c r="B247" s="58" t="s">
        <v>263</v>
      </c>
      <c r="C247" s="59" cm="1">
        <f t="array" aca="1" ref="C247" ca="1">IF(ISNUMBER(_xll.VoseSimPercentile(With_95,0.1)),_xll.VoseSimPercentile(With_95,0.1),NA())</f>
        <v>133</v>
      </c>
      <c r="D247" s="59" cm="1">
        <f t="array" aca="1" ref="D247" ca="1">IF(ISNUMBER(_xll.VoseSimPercentile(With_95,0.5)),_xll.VoseSimPercentile(With_95,0.5),NA())</f>
        <v>148</v>
      </c>
      <c r="E247" s="59" cm="1">
        <f t="array" aca="1" ref="E247" ca="1">IF(ISNUMBER(_xll.VoseSimPercentile(With_95,0.9)),_xll.VoseSimPercentile(With_95,0.9),NA())</f>
        <v>164</v>
      </c>
      <c r="F247" s="59" cm="1">
        <f t="array" aca="1" ref="F247" ca="1">IF(ISNUMBER(_xll.VoseSimMean(With_95)),_xll.VoseSimMean(With_95),NA())</f>
        <v>148.00975048752437</v>
      </c>
    </row>
    <row r="248" spans="2:6" hidden="1" outlineLevel="1" x14ac:dyDescent="0.45">
      <c r="B248" s="58" t="s">
        <v>264</v>
      </c>
      <c r="C248" s="59" cm="1">
        <f t="array" aca="1" ref="C248" ca="1">IF(ISNUMBER(_xll.VoseSimPercentile(With_96,0.1)),_xll.VoseSimPercentile(With_96,0.1),NA())</f>
        <v>133</v>
      </c>
      <c r="D248" s="59" cm="1">
        <f t="array" aca="1" ref="D248" ca="1">IF(ISNUMBER(_xll.VoseSimPercentile(With_96,0.5)),_xll.VoseSimPercentile(With_96,0.5),NA())</f>
        <v>149</v>
      </c>
      <c r="E248" s="59" cm="1">
        <f t="array" aca="1" ref="E248" ca="1">IF(ISNUMBER(_xll.VoseSimPercentile(With_96,0.9)),_xll.VoseSimPercentile(With_96,0.9),NA())</f>
        <v>165</v>
      </c>
      <c r="F248" s="59" cm="1">
        <f t="array" aca="1" ref="F248" ca="1">IF(ISNUMBER(_xll.VoseSimMean(With_96)),_xll.VoseSimMean(With_96),NA())</f>
        <v>148.90474523726186</v>
      </c>
    </row>
    <row r="249" spans="2:6" hidden="1" outlineLevel="1" x14ac:dyDescent="0.45">
      <c r="B249" s="58" t="s">
        <v>265</v>
      </c>
      <c r="C249" s="59" cm="1">
        <f t="array" aca="1" ref="C249" ca="1">IF(ISNUMBER(_xll.VoseSimPercentile(With_97,0.1)),_xll.VoseSimPercentile(With_97,0.1),NA())</f>
        <v>134</v>
      </c>
      <c r="D249" s="59" cm="1">
        <f t="array" aca="1" ref="D249" ca="1">IF(ISNUMBER(_xll.VoseSimPercentile(With_97,0.5)),_xll.VoseSimPercentile(With_97,0.5),NA())</f>
        <v>150</v>
      </c>
      <c r="E249" s="59" cm="1">
        <f t="array" aca="1" ref="E249" ca="1">IF(ISNUMBER(_xll.VoseSimPercentile(With_97,0.9)),_xll.VoseSimPercentile(With_97,0.9),NA())</f>
        <v>166</v>
      </c>
      <c r="F249" s="59" cm="1">
        <f t="array" aca="1" ref="F249" ca="1">IF(ISNUMBER(_xll.VoseSimMean(With_97)),_xll.VoseSimMean(With_97),NA())</f>
        <v>149.91819590979549</v>
      </c>
    </row>
    <row r="250" spans="2:6" hidden="1" outlineLevel="1" x14ac:dyDescent="0.45">
      <c r="B250" s="58" t="s">
        <v>266</v>
      </c>
      <c r="C250" s="59" cm="1">
        <f t="array" aca="1" ref="C250" ca="1">IF(ISNUMBER(_xll.VoseSimPercentile(With_98,0.1)),_xll.VoseSimPercentile(With_98,0.1),NA())</f>
        <v>135</v>
      </c>
      <c r="D250" s="59" cm="1">
        <f t="array" aca="1" ref="D250" ca="1">IF(ISNUMBER(_xll.VoseSimPercentile(With_98,0.5)),_xll.VoseSimPercentile(With_98,0.5),NA())</f>
        <v>151</v>
      </c>
      <c r="E250" s="59" cm="1">
        <f t="array" aca="1" ref="E250" ca="1">IF(ISNUMBER(_xll.VoseSimPercentile(With_98,0.9)),_xll.VoseSimPercentile(With_98,0.9),NA())</f>
        <v>167</v>
      </c>
      <c r="F250" s="59" cm="1">
        <f t="array" aca="1" ref="F250" ca="1">IF(ISNUMBER(_xll.VoseSimMean(With_98)),_xll.VoseSimMean(With_98),NA())</f>
        <v>150.8346417320866</v>
      </c>
    </row>
    <row r="251" spans="2:6" hidden="1" outlineLevel="1" x14ac:dyDescent="0.45">
      <c r="B251" s="58" t="s">
        <v>267</v>
      </c>
      <c r="C251" s="59" cm="1">
        <f t="array" aca="1" ref="C251" ca="1">IF(ISNUMBER(_xll.VoseSimPercentile(With_99,0.1)),_xll.VoseSimPercentile(With_99,0.1),NA())</f>
        <v>136</v>
      </c>
      <c r="D251" s="59" cm="1">
        <f t="array" aca="1" ref="D251" ca="1">IF(ISNUMBER(_xll.VoseSimPercentile(With_99,0.5)),_xll.VoseSimPercentile(With_99,0.5),NA())</f>
        <v>151</v>
      </c>
      <c r="E251" s="59" cm="1">
        <f t="array" aca="1" ref="E251" ca="1">IF(ISNUMBER(_xll.VoseSimPercentile(With_99,0.9)),_xll.VoseSimPercentile(With_99,0.9),NA())</f>
        <v>167</v>
      </c>
      <c r="F251" s="59" cm="1">
        <f t="array" aca="1" ref="F251" ca="1">IF(ISNUMBER(_xll.VoseSimMean(With_99)),_xll.VoseSimMean(With_99),NA())</f>
        <v>151.52622631131555</v>
      </c>
    </row>
    <row r="252" spans="2:6" hidden="1" outlineLevel="1" x14ac:dyDescent="0.45">
      <c r="B252" s="58" t="s">
        <v>268</v>
      </c>
      <c r="C252" s="59" cm="1">
        <f t="array" aca="1" ref="C252" ca="1">IF(ISNUMBER(_xll.VoseSimPercentile(With_100,0.1)),_xll.VoseSimPercentile(With_100,0.1),NA())</f>
        <v>137</v>
      </c>
      <c r="D252" s="59" cm="1">
        <f t="array" aca="1" ref="D252" ca="1">IF(ISNUMBER(_xll.VoseSimPercentile(With_100,0.5)),_xll.VoseSimPercentile(With_100,0.5),NA())</f>
        <v>152</v>
      </c>
      <c r="E252" s="59" cm="1">
        <f t="array" aca="1" ref="E252" ca="1">IF(ISNUMBER(_xll.VoseSimPercentile(With_100,0.9)),_xll.VoseSimPercentile(With_100,0.9),NA())</f>
        <v>168</v>
      </c>
      <c r="F252" s="59" cm="1">
        <f t="array" aca="1" ref="F252" ca="1">IF(ISNUMBER(_xll.VoseSimMean(With_100)),_xll.VoseSimMean(With_100),NA())</f>
        <v>152.57677883894195</v>
      </c>
    </row>
  </sheetData>
  <mergeCells count="4">
    <mergeCell ref="B44:G44"/>
    <mergeCell ref="B43:G43"/>
    <mergeCell ref="B42:G42"/>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51:D150">
    <cfRule type="expression" dxfId="1" priority="3">
      <formula>ISNA(C51)</formula>
    </cfRule>
  </conditionalFormatting>
  <conditionalFormatting sqref="C153:F252">
    <cfRule type="expression" dxfId="0" priority="4">
      <formula>ISNA(C153)</formula>
    </cfRule>
  </conditionalFormatting>
  <hyperlinks>
    <hyperlink ref="B4" location="'Months'!A1" display="◂  Month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DCC24-E5AE-4371-8BE6-BFE7DF2C842C}">
  <dimension ref="A1:B1"/>
  <sheetViews>
    <sheetView workbookViewId="0"/>
  </sheetViews>
  <sheetFormatPr defaultRowHeight="14.25" x14ac:dyDescent="0.45"/>
  <sheetData>
    <row r="1" spans="1:2" x14ac:dyDescent="0.45">
      <c r="A1" s="64" t="s">
        <v>271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2443-99E4-4C08-B5B1-4CF5DA44EFF3}">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83E44-0753-49F3-83FE-69AEEC65C93C}">
  <dimension ref="B3:B1042"/>
  <sheetViews>
    <sheetView workbookViewId="0"/>
  </sheetViews>
  <sheetFormatPr defaultRowHeight="14.25" x14ac:dyDescent="0.45"/>
  <sheetData>
    <row r="3" spans="2:2" x14ac:dyDescent="0.45">
      <c r="B3">
        <v>246</v>
      </c>
    </row>
    <row r="4" spans="2:2" x14ac:dyDescent="0.45">
      <c r="B4">
        <v>191</v>
      </c>
    </row>
    <row r="5" spans="2:2" x14ac:dyDescent="0.45">
      <c r="B5">
        <v>192</v>
      </c>
    </row>
    <row r="6" spans="2:2" x14ac:dyDescent="0.45">
      <c r="B6">
        <v>184</v>
      </c>
    </row>
    <row r="7" spans="2:2" x14ac:dyDescent="0.45">
      <c r="B7">
        <v>190</v>
      </c>
    </row>
    <row r="8" spans="2:2" x14ac:dyDescent="0.45">
      <c r="B8">
        <v>201</v>
      </c>
    </row>
    <row r="9" spans="2:2" x14ac:dyDescent="0.45">
      <c r="B9">
        <v>195</v>
      </c>
    </row>
    <row r="10" spans="2:2" x14ac:dyDescent="0.45">
      <c r="B10">
        <v>188</v>
      </c>
    </row>
    <row r="11" spans="2:2" x14ac:dyDescent="0.45">
      <c r="B11">
        <v>214</v>
      </c>
    </row>
    <row r="12" spans="2:2" x14ac:dyDescent="0.45">
      <c r="B12">
        <v>199</v>
      </c>
    </row>
    <row r="13" spans="2:2" x14ac:dyDescent="0.45">
      <c r="B13">
        <v>4</v>
      </c>
    </row>
    <row r="14" spans="2:2" x14ac:dyDescent="0.45">
      <c r="B14">
        <v>39</v>
      </c>
    </row>
    <row r="15" spans="2:2" x14ac:dyDescent="0.45">
      <c r="B15">
        <v>127</v>
      </c>
    </row>
    <row r="16" spans="2:2" x14ac:dyDescent="0.45">
      <c r="B16">
        <v>400</v>
      </c>
    </row>
    <row r="17" spans="2:2" x14ac:dyDescent="0.45">
      <c r="B17">
        <v>496</v>
      </c>
    </row>
    <row r="18" spans="2:2" x14ac:dyDescent="0.45">
      <c r="B18">
        <v>486</v>
      </c>
    </row>
    <row r="19" spans="2:2" x14ac:dyDescent="0.45">
      <c r="B19">
        <v>276</v>
      </c>
    </row>
    <row r="20" spans="2:2" x14ac:dyDescent="0.45">
      <c r="B20">
        <v>134</v>
      </c>
    </row>
    <row r="21" spans="2:2" x14ac:dyDescent="0.45">
      <c r="B21">
        <v>28</v>
      </c>
    </row>
    <row r="22" spans="2:2" x14ac:dyDescent="0.45">
      <c r="B22">
        <v>10</v>
      </c>
    </row>
    <row r="23" spans="2:2" x14ac:dyDescent="0.45">
      <c r="B23">
        <v>1</v>
      </c>
    </row>
    <row r="24" spans="2:2" x14ac:dyDescent="0.45">
      <c r="B24">
        <v>4</v>
      </c>
    </row>
    <row r="25" spans="2:2" x14ac:dyDescent="0.45">
      <c r="B25">
        <v>48</v>
      </c>
    </row>
    <row r="26" spans="2:2" x14ac:dyDescent="0.45">
      <c r="B26">
        <v>200</v>
      </c>
    </row>
    <row r="27" spans="2:2" x14ac:dyDescent="0.45">
      <c r="B27">
        <v>520</v>
      </c>
    </row>
    <row r="28" spans="2:2" x14ac:dyDescent="0.45">
      <c r="B28">
        <v>556</v>
      </c>
    </row>
    <row r="29" spans="2:2" x14ac:dyDescent="0.45">
      <c r="B29">
        <v>415</v>
      </c>
    </row>
    <row r="30" spans="2:2" x14ac:dyDescent="0.45">
      <c r="B30">
        <v>185</v>
      </c>
    </row>
    <row r="31" spans="2:2" x14ac:dyDescent="0.45">
      <c r="B31">
        <v>62</v>
      </c>
    </row>
    <row r="32" spans="2:2" x14ac:dyDescent="0.45">
      <c r="B32">
        <v>9</v>
      </c>
    </row>
    <row r="33" spans="2:2" x14ac:dyDescent="0.45">
      <c r="B33">
        <v>13</v>
      </c>
    </row>
    <row r="34" spans="2:2" x14ac:dyDescent="0.45">
      <c r="B34">
        <v>79</v>
      </c>
    </row>
    <row r="35" spans="2:2" x14ac:dyDescent="0.45">
      <c r="B35">
        <v>276</v>
      </c>
    </row>
    <row r="36" spans="2:2" x14ac:dyDescent="0.45">
      <c r="B36">
        <v>586</v>
      </c>
    </row>
    <row r="37" spans="2:2" x14ac:dyDescent="0.45">
      <c r="B37">
        <v>542</v>
      </c>
    </row>
    <row r="38" spans="2:2" x14ac:dyDescent="0.45">
      <c r="B38">
        <v>343</v>
      </c>
    </row>
    <row r="39" spans="2:2" x14ac:dyDescent="0.45">
      <c r="B39">
        <v>126</v>
      </c>
    </row>
    <row r="40" spans="2:2" x14ac:dyDescent="0.45">
      <c r="B40">
        <v>29</v>
      </c>
    </row>
    <row r="41" spans="2:2" x14ac:dyDescent="0.45">
      <c r="B41">
        <v>4</v>
      </c>
    </row>
    <row r="42" spans="2:2" x14ac:dyDescent="0.45">
      <c r="B42">
        <v>2</v>
      </c>
    </row>
    <row r="43" spans="2:2" x14ac:dyDescent="0.45">
      <c r="B43">
        <v>13</v>
      </c>
    </row>
    <row r="44" spans="2:2" x14ac:dyDescent="0.45">
      <c r="B44">
        <v>70</v>
      </c>
    </row>
    <row r="45" spans="2:2" x14ac:dyDescent="0.45">
      <c r="B45">
        <v>183</v>
      </c>
    </row>
    <row r="46" spans="2:2" x14ac:dyDescent="0.45">
      <c r="B46">
        <v>381</v>
      </c>
    </row>
    <row r="47" spans="2:2" x14ac:dyDescent="0.45">
      <c r="B47">
        <v>549</v>
      </c>
    </row>
    <row r="48" spans="2:2" x14ac:dyDescent="0.45">
      <c r="B48">
        <v>413</v>
      </c>
    </row>
    <row r="49" spans="2:2" x14ac:dyDescent="0.45">
      <c r="B49">
        <v>238</v>
      </c>
    </row>
    <row r="50" spans="2:2" x14ac:dyDescent="0.45">
      <c r="B50">
        <v>115</v>
      </c>
    </row>
    <row r="51" spans="2:2" x14ac:dyDescent="0.45">
      <c r="B51">
        <v>31</v>
      </c>
    </row>
    <row r="52" spans="2:2" x14ac:dyDescent="0.45">
      <c r="B52">
        <v>7</v>
      </c>
    </row>
    <row r="53" spans="2:2" x14ac:dyDescent="0.45">
      <c r="B53">
        <v>3</v>
      </c>
    </row>
    <row r="54" spans="2:2" x14ac:dyDescent="0.45">
      <c r="B54">
        <v>42</v>
      </c>
    </row>
    <row r="55" spans="2:2" x14ac:dyDescent="0.45">
      <c r="B55">
        <v>182</v>
      </c>
    </row>
    <row r="56" spans="2:2" x14ac:dyDescent="0.45">
      <c r="B56">
        <v>426</v>
      </c>
    </row>
    <row r="57" spans="2:2" x14ac:dyDescent="0.45">
      <c r="B57">
        <v>546</v>
      </c>
    </row>
    <row r="58" spans="2:2" x14ac:dyDescent="0.45">
      <c r="B58">
        <v>463</v>
      </c>
    </row>
    <row r="59" spans="2:2" x14ac:dyDescent="0.45">
      <c r="B59">
        <v>245</v>
      </c>
    </row>
    <row r="60" spans="2:2" x14ac:dyDescent="0.45">
      <c r="B60">
        <v>80</v>
      </c>
    </row>
    <row r="61" spans="2:2" x14ac:dyDescent="0.45">
      <c r="B61">
        <v>12</v>
      </c>
    </row>
    <row r="62" spans="2:2" x14ac:dyDescent="0.45">
      <c r="B62">
        <v>1</v>
      </c>
    </row>
    <row r="63" spans="2:2" x14ac:dyDescent="0.45">
      <c r="B63">
        <v>4</v>
      </c>
    </row>
    <row r="64" spans="2:2" x14ac:dyDescent="0.45">
      <c r="B64">
        <v>10</v>
      </c>
    </row>
    <row r="65" spans="2:2" x14ac:dyDescent="0.45">
      <c r="B65">
        <v>83</v>
      </c>
    </row>
    <row r="66" spans="2:2" x14ac:dyDescent="0.45">
      <c r="B66">
        <v>247</v>
      </c>
    </row>
    <row r="67" spans="2:2" x14ac:dyDescent="0.45">
      <c r="B67">
        <v>483</v>
      </c>
    </row>
    <row r="68" spans="2:2" x14ac:dyDescent="0.45">
      <c r="B68">
        <v>555</v>
      </c>
    </row>
    <row r="69" spans="2:2" x14ac:dyDescent="0.45">
      <c r="B69">
        <v>379</v>
      </c>
    </row>
    <row r="70" spans="2:2" x14ac:dyDescent="0.45">
      <c r="B70">
        <v>179</v>
      </c>
    </row>
    <row r="71" spans="2:2" x14ac:dyDescent="0.45">
      <c r="B71">
        <v>42</v>
      </c>
    </row>
    <row r="72" spans="2:2" x14ac:dyDescent="0.45">
      <c r="B72">
        <v>18</v>
      </c>
    </row>
    <row r="73" spans="2:2" x14ac:dyDescent="0.45">
      <c r="B73">
        <v>24</v>
      </c>
    </row>
    <row r="74" spans="2:2" x14ac:dyDescent="0.45">
      <c r="B74">
        <v>86</v>
      </c>
    </row>
    <row r="75" spans="2:2" x14ac:dyDescent="0.45">
      <c r="B75">
        <v>271</v>
      </c>
    </row>
    <row r="76" spans="2:2" x14ac:dyDescent="0.45">
      <c r="B76">
        <v>552</v>
      </c>
    </row>
    <row r="77" spans="2:2" x14ac:dyDescent="0.45">
      <c r="B77">
        <v>525</v>
      </c>
    </row>
    <row r="78" spans="2:2" x14ac:dyDescent="0.45">
      <c r="B78">
        <v>364</v>
      </c>
    </row>
    <row r="79" spans="2:2" x14ac:dyDescent="0.45">
      <c r="B79">
        <v>138</v>
      </c>
    </row>
    <row r="80" spans="2:2" x14ac:dyDescent="0.45">
      <c r="B80">
        <v>32</v>
      </c>
    </row>
    <row r="81" spans="2:2" x14ac:dyDescent="0.45">
      <c r="B81">
        <v>7</v>
      </c>
    </row>
    <row r="82" spans="2:2" x14ac:dyDescent="0.45">
      <c r="B82">
        <v>1</v>
      </c>
    </row>
    <row r="83" spans="2:2" x14ac:dyDescent="0.45">
      <c r="B83">
        <v>2</v>
      </c>
    </row>
    <row r="84" spans="2:2" x14ac:dyDescent="0.45">
      <c r="B84">
        <v>20</v>
      </c>
    </row>
    <row r="85" spans="2:2" x14ac:dyDescent="0.45">
      <c r="B85">
        <v>118</v>
      </c>
    </row>
    <row r="86" spans="2:2" x14ac:dyDescent="0.45">
      <c r="B86">
        <v>356</v>
      </c>
    </row>
    <row r="87" spans="2:2" x14ac:dyDescent="0.45">
      <c r="B87">
        <v>560</v>
      </c>
    </row>
    <row r="88" spans="2:2" x14ac:dyDescent="0.45">
      <c r="B88">
        <v>526</v>
      </c>
    </row>
    <row r="89" spans="2:2" x14ac:dyDescent="0.45">
      <c r="B89">
        <v>271</v>
      </c>
    </row>
    <row r="90" spans="2:2" x14ac:dyDescent="0.45">
      <c r="B90">
        <v>113</v>
      </c>
    </row>
    <row r="91" spans="2:2" x14ac:dyDescent="0.45">
      <c r="B91">
        <v>26</v>
      </c>
    </row>
    <row r="92" spans="2:2" x14ac:dyDescent="0.45">
      <c r="B92">
        <v>8</v>
      </c>
    </row>
    <row r="93" spans="2:2" x14ac:dyDescent="0.45">
      <c r="B93">
        <v>4</v>
      </c>
    </row>
    <row r="94" spans="2:2" x14ac:dyDescent="0.45">
      <c r="B94">
        <v>38</v>
      </c>
    </row>
    <row r="95" spans="2:2" x14ac:dyDescent="0.45">
      <c r="B95">
        <v>111</v>
      </c>
    </row>
    <row r="96" spans="2:2" x14ac:dyDescent="0.45">
      <c r="B96">
        <v>350</v>
      </c>
    </row>
    <row r="97" spans="2:2" x14ac:dyDescent="0.45">
      <c r="B97">
        <v>502</v>
      </c>
    </row>
    <row r="98" spans="2:2" x14ac:dyDescent="0.45">
      <c r="B98">
        <v>459</v>
      </c>
    </row>
    <row r="99" spans="2:2" x14ac:dyDescent="0.45">
      <c r="B99">
        <v>358</v>
      </c>
    </row>
    <row r="100" spans="2:2" x14ac:dyDescent="0.45">
      <c r="B100">
        <v>138</v>
      </c>
    </row>
    <row r="101" spans="2:2" x14ac:dyDescent="0.45">
      <c r="B101">
        <v>36</v>
      </c>
    </row>
    <row r="102" spans="2:2" x14ac:dyDescent="0.45">
      <c r="B102">
        <v>4</v>
      </c>
    </row>
    <row r="103" spans="2:2" x14ac:dyDescent="0.45">
      <c r="B103">
        <v>2</v>
      </c>
    </row>
    <row r="104" spans="2:2" x14ac:dyDescent="0.45">
      <c r="B104">
        <v>27</v>
      </c>
    </row>
    <row r="105" spans="2:2" x14ac:dyDescent="0.45">
      <c r="B105">
        <v>146</v>
      </c>
    </row>
    <row r="106" spans="2:2" x14ac:dyDescent="0.45">
      <c r="B106">
        <v>360</v>
      </c>
    </row>
    <row r="107" spans="2:2" x14ac:dyDescent="0.45">
      <c r="B107">
        <v>538</v>
      </c>
    </row>
    <row r="108" spans="2:2" x14ac:dyDescent="0.45">
      <c r="B108">
        <v>426</v>
      </c>
    </row>
    <row r="109" spans="2:2" x14ac:dyDescent="0.45">
      <c r="B109">
        <v>323</v>
      </c>
    </row>
    <row r="110" spans="2:2" x14ac:dyDescent="0.45">
      <c r="B110">
        <v>131</v>
      </c>
    </row>
    <row r="111" spans="2:2" x14ac:dyDescent="0.45">
      <c r="B111">
        <v>40</v>
      </c>
    </row>
    <row r="112" spans="2:2" x14ac:dyDescent="0.45">
      <c r="B112">
        <v>7</v>
      </c>
    </row>
    <row r="113" spans="2:2" x14ac:dyDescent="0.45">
      <c r="B113">
        <v>1</v>
      </c>
    </row>
    <row r="114" spans="2:2" x14ac:dyDescent="0.45">
      <c r="B114">
        <v>3</v>
      </c>
    </row>
    <row r="115" spans="2:2" x14ac:dyDescent="0.45">
      <c r="B115">
        <v>79</v>
      </c>
    </row>
    <row r="116" spans="2:2" x14ac:dyDescent="0.45">
      <c r="B116">
        <v>215</v>
      </c>
    </row>
    <row r="117" spans="2:2" x14ac:dyDescent="0.45">
      <c r="B117">
        <v>522</v>
      </c>
    </row>
    <row r="118" spans="2:2" x14ac:dyDescent="0.45">
      <c r="B118">
        <v>511</v>
      </c>
    </row>
    <row r="119" spans="2:2" x14ac:dyDescent="0.45">
      <c r="B119">
        <v>399</v>
      </c>
    </row>
    <row r="120" spans="2:2" x14ac:dyDescent="0.45">
      <c r="B120">
        <v>221</v>
      </c>
    </row>
    <row r="121" spans="2:2" x14ac:dyDescent="0.45">
      <c r="B121">
        <v>40</v>
      </c>
    </row>
    <row r="122" spans="2:2" x14ac:dyDescent="0.45">
      <c r="B122">
        <v>9</v>
      </c>
    </row>
    <row r="123" spans="2:2" x14ac:dyDescent="0.45">
      <c r="B123">
        <v>17</v>
      </c>
    </row>
    <row r="124" spans="2:2" x14ac:dyDescent="0.45">
      <c r="B124">
        <v>120</v>
      </c>
    </row>
    <row r="125" spans="2:2" x14ac:dyDescent="0.45">
      <c r="B125">
        <v>309</v>
      </c>
    </row>
    <row r="126" spans="2:2" x14ac:dyDescent="0.45">
      <c r="B126">
        <v>488</v>
      </c>
    </row>
    <row r="127" spans="2:2" x14ac:dyDescent="0.45">
      <c r="B127">
        <v>512</v>
      </c>
    </row>
    <row r="128" spans="2:2" x14ac:dyDescent="0.45">
      <c r="B128">
        <v>311</v>
      </c>
    </row>
    <row r="129" spans="2:2" x14ac:dyDescent="0.45">
      <c r="B129">
        <v>166</v>
      </c>
    </row>
    <row r="130" spans="2:2" x14ac:dyDescent="0.45">
      <c r="B130">
        <v>61</v>
      </c>
    </row>
    <row r="131" spans="2:2" x14ac:dyDescent="0.45">
      <c r="B131">
        <v>14</v>
      </c>
    </row>
    <row r="132" spans="2:2" x14ac:dyDescent="0.45">
      <c r="B132">
        <v>2</v>
      </c>
    </row>
    <row r="133" spans="2:2" x14ac:dyDescent="0.45">
      <c r="B133">
        <v>7</v>
      </c>
    </row>
    <row r="134" spans="2:2" x14ac:dyDescent="0.45">
      <c r="B134">
        <v>71</v>
      </c>
    </row>
    <row r="135" spans="2:2" x14ac:dyDescent="0.45">
      <c r="B135">
        <v>285</v>
      </c>
    </row>
    <row r="136" spans="2:2" x14ac:dyDescent="0.45">
      <c r="B136">
        <v>528</v>
      </c>
    </row>
    <row r="137" spans="2:2" x14ac:dyDescent="0.45">
      <c r="B137">
        <v>604</v>
      </c>
    </row>
    <row r="138" spans="2:2" x14ac:dyDescent="0.45">
      <c r="B138">
        <v>316</v>
      </c>
    </row>
    <row r="139" spans="2:2" x14ac:dyDescent="0.45">
      <c r="B139">
        <v>145</v>
      </c>
    </row>
    <row r="140" spans="2:2" x14ac:dyDescent="0.45">
      <c r="B140">
        <v>40</v>
      </c>
    </row>
    <row r="141" spans="2:2" x14ac:dyDescent="0.45">
      <c r="B141">
        <v>3</v>
      </c>
    </row>
    <row r="142" spans="2:2" x14ac:dyDescent="0.45">
      <c r="B142">
        <v>1</v>
      </c>
    </row>
    <row r="143" spans="2:2" x14ac:dyDescent="0.45">
      <c r="B143">
        <v>28</v>
      </c>
    </row>
    <row r="144" spans="2:2" x14ac:dyDescent="0.45">
      <c r="B144">
        <v>103</v>
      </c>
    </row>
    <row r="145" spans="2:2" x14ac:dyDescent="0.45">
      <c r="B145">
        <v>257</v>
      </c>
    </row>
    <row r="146" spans="2:2" x14ac:dyDescent="0.45">
      <c r="B146">
        <v>398</v>
      </c>
    </row>
    <row r="147" spans="2:2" x14ac:dyDescent="0.45">
      <c r="B147">
        <v>544</v>
      </c>
    </row>
    <row r="148" spans="2:2" x14ac:dyDescent="0.45">
      <c r="B148">
        <v>344</v>
      </c>
    </row>
    <row r="149" spans="2:2" x14ac:dyDescent="0.45">
      <c r="B149">
        <v>197</v>
      </c>
    </row>
    <row r="150" spans="2:2" x14ac:dyDescent="0.45">
      <c r="B150">
        <v>97</v>
      </c>
    </row>
    <row r="151" spans="2:2" x14ac:dyDescent="0.45">
      <c r="B151">
        <v>27</v>
      </c>
    </row>
    <row r="152" spans="2:2" x14ac:dyDescent="0.45">
      <c r="B152">
        <v>5</v>
      </c>
    </row>
    <row r="153" spans="2:2" x14ac:dyDescent="0.45">
      <c r="B153">
        <v>10</v>
      </c>
    </row>
    <row r="154" spans="2:2" x14ac:dyDescent="0.45">
      <c r="B154">
        <v>46</v>
      </c>
    </row>
    <row r="155" spans="2:2" x14ac:dyDescent="0.45">
      <c r="B155">
        <v>140</v>
      </c>
    </row>
    <row r="156" spans="2:2" x14ac:dyDescent="0.45">
      <c r="B156">
        <v>358</v>
      </c>
    </row>
    <row r="157" spans="2:2" x14ac:dyDescent="0.45">
      <c r="B157">
        <v>479</v>
      </c>
    </row>
    <row r="158" spans="2:2" x14ac:dyDescent="0.45">
      <c r="B158">
        <v>440</v>
      </c>
    </row>
    <row r="159" spans="2:2" x14ac:dyDescent="0.45">
      <c r="B159">
        <v>332</v>
      </c>
    </row>
    <row r="160" spans="2:2" x14ac:dyDescent="0.45">
      <c r="B160">
        <v>137</v>
      </c>
    </row>
    <row r="161" spans="2:2" x14ac:dyDescent="0.45">
      <c r="B161">
        <v>45</v>
      </c>
    </row>
    <row r="162" spans="2:2" x14ac:dyDescent="0.45">
      <c r="B162">
        <v>13</v>
      </c>
    </row>
    <row r="163" spans="2:2" x14ac:dyDescent="0.45">
      <c r="B163">
        <v>12</v>
      </c>
    </row>
    <row r="164" spans="2:2" x14ac:dyDescent="0.45">
      <c r="B164">
        <v>86</v>
      </c>
    </row>
    <row r="165" spans="2:2" x14ac:dyDescent="0.45">
      <c r="B165">
        <v>237</v>
      </c>
    </row>
    <row r="166" spans="2:2" x14ac:dyDescent="0.45">
      <c r="B166">
        <v>389</v>
      </c>
    </row>
    <row r="167" spans="2:2" x14ac:dyDescent="0.45">
      <c r="B167">
        <v>522</v>
      </c>
    </row>
    <row r="168" spans="2:2" x14ac:dyDescent="0.45">
      <c r="B168">
        <v>422</v>
      </c>
    </row>
    <row r="169" spans="2:2" x14ac:dyDescent="0.45">
      <c r="B169">
        <v>197</v>
      </c>
    </row>
    <row r="170" spans="2:2" x14ac:dyDescent="0.45">
      <c r="B170">
        <v>109</v>
      </c>
    </row>
    <row r="171" spans="2:2" x14ac:dyDescent="0.45">
      <c r="B171">
        <v>20</v>
      </c>
    </row>
    <row r="172" spans="2:2" x14ac:dyDescent="0.45">
      <c r="B172">
        <v>6</v>
      </c>
    </row>
    <row r="173" spans="2:2" x14ac:dyDescent="0.45">
      <c r="B173">
        <v>5</v>
      </c>
    </row>
    <row r="174" spans="2:2" x14ac:dyDescent="0.45">
      <c r="B174">
        <v>27</v>
      </c>
    </row>
    <row r="175" spans="2:2" x14ac:dyDescent="0.45">
      <c r="B175">
        <v>109</v>
      </c>
    </row>
    <row r="176" spans="2:2" x14ac:dyDescent="0.45">
      <c r="B176">
        <v>397</v>
      </c>
    </row>
    <row r="177" spans="2:2" x14ac:dyDescent="0.45">
      <c r="B177">
        <v>511</v>
      </c>
    </row>
    <row r="178" spans="2:2" x14ac:dyDescent="0.45">
      <c r="B178">
        <v>480</v>
      </c>
    </row>
    <row r="179" spans="2:2" x14ac:dyDescent="0.45">
      <c r="B179">
        <v>329</v>
      </c>
    </row>
    <row r="180" spans="2:2" x14ac:dyDescent="0.45">
      <c r="B180">
        <v>104</v>
      </c>
    </row>
    <row r="181" spans="2:2" x14ac:dyDescent="0.45">
      <c r="B181">
        <v>28</v>
      </c>
    </row>
    <row r="182" spans="2:2" x14ac:dyDescent="0.45">
      <c r="B182">
        <v>10</v>
      </c>
    </row>
    <row r="183" spans="2:2" x14ac:dyDescent="0.45">
      <c r="B183">
        <v>1</v>
      </c>
    </row>
    <row r="184" spans="2:2" x14ac:dyDescent="0.45">
      <c r="B184">
        <v>9</v>
      </c>
    </row>
    <row r="185" spans="2:2" x14ac:dyDescent="0.45">
      <c r="B185">
        <v>51</v>
      </c>
    </row>
    <row r="186" spans="2:2" x14ac:dyDescent="0.45">
      <c r="B186">
        <v>233</v>
      </c>
    </row>
    <row r="187" spans="2:2" x14ac:dyDescent="0.45">
      <c r="B187">
        <v>513</v>
      </c>
    </row>
    <row r="188" spans="2:2" x14ac:dyDescent="0.45">
      <c r="B188">
        <v>489</v>
      </c>
    </row>
    <row r="189" spans="2:2" x14ac:dyDescent="0.45">
      <c r="B189">
        <v>441</v>
      </c>
    </row>
    <row r="190" spans="2:2" x14ac:dyDescent="0.45">
      <c r="B190">
        <v>177</v>
      </c>
    </row>
    <row r="191" spans="2:2" x14ac:dyDescent="0.45">
      <c r="B191">
        <v>67</v>
      </c>
    </row>
    <row r="192" spans="2:2" x14ac:dyDescent="0.45">
      <c r="B192">
        <v>19</v>
      </c>
    </row>
    <row r="193" spans="2:2" x14ac:dyDescent="0.45">
      <c r="B193">
        <v>5</v>
      </c>
    </row>
    <row r="194" spans="2:2" x14ac:dyDescent="0.45">
      <c r="B194">
        <v>48</v>
      </c>
    </row>
    <row r="195" spans="2:2" x14ac:dyDescent="0.45">
      <c r="B195">
        <v>223</v>
      </c>
    </row>
    <row r="196" spans="2:2" x14ac:dyDescent="0.45">
      <c r="B196">
        <v>554</v>
      </c>
    </row>
    <row r="197" spans="2:2" x14ac:dyDescent="0.45">
      <c r="B197">
        <v>652</v>
      </c>
    </row>
    <row r="198" spans="2:2" x14ac:dyDescent="0.45">
      <c r="B198">
        <v>388</v>
      </c>
    </row>
    <row r="199" spans="2:2" x14ac:dyDescent="0.45">
      <c r="B199">
        <v>112</v>
      </c>
    </row>
    <row r="200" spans="2:2" x14ac:dyDescent="0.45">
      <c r="B200">
        <v>13</v>
      </c>
    </row>
    <row r="201" spans="2:2" x14ac:dyDescent="0.45">
      <c r="B201">
        <v>4</v>
      </c>
    </row>
    <row r="202" spans="2:2" x14ac:dyDescent="0.45">
      <c r="B202">
        <v>1</v>
      </c>
    </row>
    <row r="203" spans="2:2" x14ac:dyDescent="0.45">
      <c r="B203">
        <v>2</v>
      </c>
    </row>
    <row r="204" spans="2:2" x14ac:dyDescent="0.45">
      <c r="B204">
        <v>24</v>
      </c>
    </row>
    <row r="205" spans="2:2" x14ac:dyDescent="0.45">
      <c r="B205">
        <v>39</v>
      </c>
    </row>
    <row r="206" spans="2:2" x14ac:dyDescent="0.45">
      <c r="B206">
        <v>69</v>
      </c>
    </row>
    <row r="207" spans="2:2" x14ac:dyDescent="0.45">
      <c r="B207">
        <v>291</v>
      </c>
    </row>
    <row r="208" spans="2:2" x14ac:dyDescent="0.45">
      <c r="B208">
        <v>662</v>
      </c>
    </row>
    <row r="209" spans="2:2" x14ac:dyDescent="0.45">
      <c r="B209">
        <v>566</v>
      </c>
    </row>
    <row r="210" spans="2:2" x14ac:dyDescent="0.45">
      <c r="B210">
        <v>280</v>
      </c>
    </row>
    <row r="211" spans="2:2" x14ac:dyDescent="0.45">
      <c r="B211">
        <v>64</v>
      </c>
    </row>
    <row r="212" spans="2:2" x14ac:dyDescent="0.45">
      <c r="B212">
        <v>3</v>
      </c>
    </row>
    <row r="213" spans="2:2" x14ac:dyDescent="0.45">
      <c r="B213">
        <v>12</v>
      </c>
    </row>
    <row r="214" spans="2:2" x14ac:dyDescent="0.45">
      <c r="B214">
        <v>48</v>
      </c>
    </row>
    <row r="215" spans="2:2" x14ac:dyDescent="0.45">
      <c r="B215">
        <v>43</v>
      </c>
    </row>
    <row r="216" spans="2:2" x14ac:dyDescent="0.45">
      <c r="B216">
        <v>71</v>
      </c>
    </row>
    <row r="217" spans="2:2" x14ac:dyDescent="0.45">
      <c r="B217">
        <v>266</v>
      </c>
    </row>
    <row r="218" spans="2:2" x14ac:dyDescent="0.45">
      <c r="B218">
        <v>437</v>
      </c>
    </row>
    <row r="219" spans="2:2" x14ac:dyDescent="0.45">
      <c r="B219">
        <v>579</v>
      </c>
    </row>
    <row r="220" spans="2:2" x14ac:dyDescent="0.45">
      <c r="B220">
        <v>379</v>
      </c>
    </row>
    <row r="221" spans="2:2" x14ac:dyDescent="0.45">
      <c r="B221">
        <v>143</v>
      </c>
    </row>
    <row r="222" spans="2:2" x14ac:dyDescent="0.45">
      <c r="B222">
        <v>22</v>
      </c>
    </row>
    <row r="223" spans="2:2" x14ac:dyDescent="0.45">
      <c r="B223">
        <v>22</v>
      </c>
    </row>
    <row r="224" spans="2:2" x14ac:dyDescent="0.45">
      <c r="B224">
        <v>46</v>
      </c>
    </row>
    <row r="225" spans="2:2" x14ac:dyDescent="0.45">
      <c r="B225">
        <v>67</v>
      </c>
    </row>
    <row r="226" spans="2:2" x14ac:dyDescent="0.45">
      <c r="B226">
        <v>85</v>
      </c>
    </row>
    <row r="227" spans="2:2" x14ac:dyDescent="0.45">
      <c r="B227">
        <v>279</v>
      </c>
    </row>
    <row r="228" spans="2:2" x14ac:dyDescent="0.45">
      <c r="B228">
        <v>503</v>
      </c>
    </row>
    <row r="229" spans="2:2" x14ac:dyDescent="0.45">
      <c r="B229">
        <v>520</v>
      </c>
    </row>
    <row r="230" spans="2:2" x14ac:dyDescent="0.45">
      <c r="B230">
        <v>345</v>
      </c>
    </row>
    <row r="231" spans="2:2" x14ac:dyDescent="0.45">
      <c r="B231">
        <v>118</v>
      </c>
    </row>
    <row r="232" spans="2:2" x14ac:dyDescent="0.45">
      <c r="B232">
        <v>15</v>
      </c>
    </row>
    <row r="233" spans="2:2" x14ac:dyDescent="0.45">
      <c r="B233">
        <v>10</v>
      </c>
    </row>
    <row r="234" spans="2:2" x14ac:dyDescent="0.45">
      <c r="B234">
        <v>41</v>
      </c>
    </row>
    <row r="235" spans="2:2" x14ac:dyDescent="0.45">
      <c r="B235">
        <v>93</v>
      </c>
    </row>
    <row r="236" spans="2:2" x14ac:dyDescent="0.45">
      <c r="B236">
        <v>93</v>
      </c>
    </row>
    <row r="237" spans="2:2" x14ac:dyDescent="0.45">
      <c r="B237">
        <v>164</v>
      </c>
    </row>
    <row r="238" spans="2:2" x14ac:dyDescent="0.45">
      <c r="B238">
        <v>438</v>
      </c>
    </row>
    <row r="239" spans="2:2" x14ac:dyDescent="0.45">
      <c r="B239">
        <v>553</v>
      </c>
    </row>
    <row r="240" spans="2:2" x14ac:dyDescent="0.45">
      <c r="B240">
        <v>450</v>
      </c>
    </row>
    <row r="241" spans="2:2" x14ac:dyDescent="0.45">
      <c r="B241">
        <v>134</v>
      </c>
    </row>
    <row r="242" spans="2:2" x14ac:dyDescent="0.45">
      <c r="B242">
        <v>24</v>
      </c>
    </row>
    <row r="243" spans="2:2" x14ac:dyDescent="0.45">
      <c r="B243">
        <v>13</v>
      </c>
    </row>
    <row r="244" spans="2:2" x14ac:dyDescent="0.45">
      <c r="B244">
        <v>65</v>
      </c>
    </row>
    <row r="245" spans="2:2" x14ac:dyDescent="0.45">
      <c r="B245">
        <v>140</v>
      </c>
    </row>
    <row r="246" spans="2:2" x14ac:dyDescent="0.45">
      <c r="B246">
        <v>103</v>
      </c>
    </row>
    <row r="247" spans="2:2" x14ac:dyDescent="0.45">
      <c r="B247">
        <v>198</v>
      </c>
    </row>
    <row r="248" spans="2:2" x14ac:dyDescent="0.45">
      <c r="B248">
        <v>402</v>
      </c>
    </row>
    <row r="249" spans="2:2" x14ac:dyDescent="0.45">
      <c r="B249">
        <v>595</v>
      </c>
    </row>
    <row r="250" spans="2:2" x14ac:dyDescent="0.45">
      <c r="B250">
        <v>378</v>
      </c>
    </row>
    <row r="251" spans="2:2" x14ac:dyDescent="0.45">
      <c r="B251">
        <v>95</v>
      </c>
    </row>
    <row r="252" spans="2:2" x14ac:dyDescent="0.45">
      <c r="B252">
        <v>11</v>
      </c>
    </row>
    <row r="253" spans="2:2" x14ac:dyDescent="0.45">
      <c r="B253">
        <v>13</v>
      </c>
    </row>
    <row r="254" spans="2:2" x14ac:dyDescent="0.45">
      <c r="B254">
        <v>77</v>
      </c>
    </row>
    <row r="255" spans="2:2" x14ac:dyDescent="0.45">
      <c r="B255">
        <v>151</v>
      </c>
    </row>
    <row r="256" spans="2:2" x14ac:dyDescent="0.45">
      <c r="B256">
        <v>143</v>
      </c>
    </row>
    <row r="257" spans="2:2" x14ac:dyDescent="0.45">
      <c r="B257">
        <v>213</v>
      </c>
    </row>
    <row r="258" spans="2:2" x14ac:dyDescent="0.45">
      <c r="B258">
        <v>482</v>
      </c>
    </row>
    <row r="259" spans="2:2" x14ac:dyDescent="0.45">
      <c r="B259">
        <v>595</v>
      </c>
    </row>
    <row r="260" spans="2:2" x14ac:dyDescent="0.45">
      <c r="B260">
        <v>257</v>
      </c>
    </row>
    <row r="261" spans="2:2" x14ac:dyDescent="0.45">
      <c r="B261">
        <v>56</v>
      </c>
    </row>
    <row r="262" spans="2:2" x14ac:dyDescent="0.45">
      <c r="B262">
        <v>13</v>
      </c>
    </row>
    <row r="263" spans="2:2" x14ac:dyDescent="0.45">
      <c r="B263">
        <v>17</v>
      </c>
    </row>
    <row r="264" spans="2:2" x14ac:dyDescent="0.45">
      <c r="B264">
        <v>104</v>
      </c>
    </row>
    <row r="265" spans="2:2" x14ac:dyDescent="0.45">
      <c r="B265">
        <v>178</v>
      </c>
    </row>
    <row r="266" spans="2:2" x14ac:dyDescent="0.45">
      <c r="B266">
        <v>157</v>
      </c>
    </row>
    <row r="267" spans="2:2" x14ac:dyDescent="0.45">
      <c r="B267">
        <v>253</v>
      </c>
    </row>
    <row r="268" spans="2:2" x14ac:dyDescent="0.45">
      <c r="B268">
        <v>583</v>
      </c>
    </row>
    <row r="269" spans="2:2" x14ac:dyDescent="0.45">
      <c r="B269">
        <v>453</v>
      </c>
    </row>
    <row r="270" spans="2:2" x14ac:dyDescent="0.45">
      <c r="B270">
        <v>215</v>
      </c>
    </row>
    <row r="271" spans="2:2" x14ac:dyDescent="0.45">
      <c r="B271">
        <v>35</v>
      </c>
    </row>
    <row r="272" spans="2:2" x14ac:dyDescent="0.45">
      <c r="B272">
        <v>5</v>
      </c>
    </row>
    <row r="273" spans="2:2" x14ac:dyDescent="0.45">
      <c r="B273">
        <v>14</v>
      </c>
    </row>
    <row r="274" spans="2:2" x14ac:dyDescent="0.45">
      <c r="B274">
        <v>81</v>
      </c>
    </row>
    <row r="275" spans="2:2" x14ac:dyDescent="0.45">
      <c r="B275">
        <v>211</v>
      </c>
    </row>
    <row r="276" spans="2:2" x14ac:dyDescent="0.45">
      <c r="B276">
        <v>162</v>
      </c>
    </row>
    <row r="277" spans="2:2" x14ac:dyDescent="0.45">
      <c r="B277">
        <v>164</v>
      </c>
    </row>
    <row r="278" spans="2:2" x14ac:dyDescent="0.45">
      <c r="B278">
        <v>378</v>
      </c>
    </row>
    <row r="279" spans="2:2" x14ac:dyDescent="0.45">
      <c r="B279">
        <v>523</v>
      </c>
    </row>
    <row r="280" spans="2:2" x14ac:dyDescent="0.45">
      <c r="B280">
        <v>351</v>
      </c>
    </row>
    <row r="281" spans="2:2" x14ac:dyDescent="0.45">
      <c r="B281">
        <v>103</v>
      </c>
    </row>
    <row r="282" spans="2:2" x14ac:dyDescent="0.45">
      <c r="B282">
        <v>13</v>
      </c>
    </row>
    <row r="283" spans="2:2" x14ac:dyDescent="0.45">
      <c r="B283">
        <v>48</v>
      </c>
    </row>
    <row r="284" spans="2:2" x14ac:dyDescent="0.45">
      <c r="B284">
        <v>135</v>
      </c>
    </row>
    <row r="285" spans="2:2" x14ac:dyDescent="0.45">
      <c r="B285">
        <v>236</v>
      </c>
    </row>
    <row r="286" spans="2:2" x14ac:dyDescent="0.45">
      <c r="B286">
        <v>153</v>
      </c>
    </row>
    <row r="287" spans="2:2" x14ac:dyDescent="0.45">
      <c r="B287">
        <v>202</v>
      </c>
    </row>
    <row r="288" spans="2:2" x14ac:dyDescent="0.45">
      <c r="B288">
        <v>450</v>
      </c>
    </row>
    <row r="289" spans="2:2" x14ac:dyDescent="0.45">
      <c r="B289">
        <v>447</v>
      </c>
    </row>
    <row r="290" spans="2:2" x14ac:dyDescent="0.45">
      <c r="B290">
        <v>250</v>
      </c>
    </row>
    <row r="291" spans="2:2" x14ac:dyDescent="0.45">
      <c r="B291">
        <v>68</v>
      </c>
    </row>
    <row r="292" spans="2:2" x14ac:dyDescent="0.45">
      <c r="B292">
        <v>11</v>
      </c>
    </row>
    <row r="293" spans="2:2" x14ac:dyDescent="0.45">
      <c r="B293">
        <v>18</v>
      </c>
    </row>
    <row r="294" spans="2:2" x14ac:dyDescent="0.45">
      <c r="B294">
        <v>111</v>
      </c>
    </row>
    <row r="295" spans="2:2" x14ac:dyDescent="0.45">
      <c r="B295">
        <v>244</v>
      </c>
    </row>
    <row r="296" spans="2:2" x14ac:dyDescent="0.45">
      <c r="B296">
        <v>207</v>
      </c>
    </row>
    <row r="297" spans="2:2" x14ac:dyDescent="0.45">
      <c r="B297">
        <v>171</v>
      </c>
    </row>
    <row r="298" spans="2:2" x14ac:dyDescent="0.45">
      <c r="B298">
        <v>314</v>
      </c>
    </row>
    <row r="299" spans="2:2" x14ac:dyDescent="0.45">
      <c r="B299">
        <v>463</v>
      </c>
    </row>
    <row r="300" spans="2:2" x14ac:dyDescent="0.45">
      <c r="B300">
        <v>330</v>
      </c>
    </row>
    <row r="301" spans="2:2" x14ac:dyDescent="0.45">
      <c r="B301">
        <v>119</v>
      </c>
    </row>
    <row r="302" spans="2:2" x14ac:dyDescent="0.45">
      <c r="B302">
        <v>23</v>
      </c>
    </row>
    <row r="303" spans="2:2" x14ac:dyDescent="0.45">
      <c r="B303">
        <v>25</v>
      </c>
    </row>
    <row r="304" spans="2:2" x14ac:dyDescent="0.45">
      <c r="B304">
        <v>158</v>
      </c>
    </row>
    <row r="305" spans="2:2" x14ac:dyDescent="0.45">
      <c r="B305">
        <v>332</v>
      </c>
    </row>
    <row r="306" spans="2:2" x14ac:dyDescent="0.45">
      <c r="B306">
        <v>188</v>
      </c>
    </row>
    <row r="307" spans="2:2" x14ac:dyDescent="0.45">
      <c r="B307">
        <v>215</v>
      </c>
    </row>
    <row r="308" spans="2:2" x14ac:dyDescent="0.45">
      <c r="B308">
        <v>461</v>
      </c>
    </row>
    <row r="309" spans="2:2" x14ac:dyDescent="0.45">
      <c r="B309">
        <v>436</v>
      </c>
    </row>
    <row r="310" spans="2:2" x14ac:dyDescent="0.45">
      <c r="B310">
        <v>152</v>
      </c>
    </row>
    <row r="311" spans="2:2" x14ac:dyDescent="0.45">
      <c r="B311">
        <v>32</v>
      </c>
    </row>
    <row r="312" spans="2:2" x14ac:dyDescent="0.45">
      <c r="B312">
        <v>1</v>
      </c>
    </row>
    <row r="313" spans="2:2" x14ac:dyDescent="0.45">
      <c r="B313">
        <v>36</v>
      </c>
    </row>
    <row r="314" spans="2:2" x14ac:dyDescent="0.45">
      <c r="B314">
        <v>160</v>
      </c>
    </row>
    <row r="315" spans="2:2" x14ac:dyDescent="0.45">
      <c r="B315">
        <v>290</v>
      </c>
    </row>
    <row r="316" spans="2:2" x14ac:dyDescent="0.45">
      <c r="B316">
        <v>245</v>
      </c>
    </row>
    <row r="317" spans="2:2" x14ac:dyDescent="0.45">
      <c r="B317">
        <v>189</v>
      </c>
    </row>
    <row r="318" spans="2:2" x14ac:dyDescent="0.45">
      <c r="B318">
        <v>363</v>
      </c>
    </row>
    <row r="319" spans="2:2" x14ac:dyDescent="0.45">
      <c r="B319">
        <v>442</v>
      </c>
    </row>
    <row r="320" spans="2:2" x14ac:dyDescent="0.45">
      <c r="B320">
        <v>213</v>
      </c>
    </row>
    <row r="321" spans="2:2" x14ac:dyDescent="0.45">
      <c r="B321">
        <v>51</v>
      </c>
    </row>
    <row r="322" spans="2:2" x14ac:dyDescent="0.45">
      <c r="B322">
        <v>11</v>
      </c>
    </row>
    <row r="323" spans="2:2" x14ac:dyDescent="0.45">
      <c r="B323">
        <v>24</v>
      </c>
    </row>
    <row r="324" spans="2:2" x14ac:dyDescent="0.45">
      <c r="B324">
        <v>188</v>
      </c>
    </row>
    <row r="325" spans="2:2" x14ac:dyDescent="0.45">
      <c r="B325">
        <v>380</v>
      </c>
    </row>
    <row r="326" spans="2:2" x14ac:dyDescent="0.45">
      <c r="B326">
        <v>215</v>
      </c>
    </row>
    <row r="327" spans="2:2" x14ac:dyDescent="0.45">
      <c r="B327">
        <v>191</v>
      </c>
    </row>
    <row r="328" spans="2:2" x14ac:dyDescent="0.45">
      <c r="B328">
        <v>406</v>
      </c>
    </row>
    <row r="329" spans="2:2" x14ac:dyDescent="0.45">
      <c r="B329">
        <v>406</v>
      </c>
    </row>
    <row r="330" spans="2:2" x14ac:dyDescent="0.45">
      <c r="B330">
        <v>155</v>
      </c>
    </row>
    <row r="331" spans="2:2" x14ac:dyDescent="0.45">
      <c r="B331">
        <v>29</v>
      </c>
    </row>
    <row r="332" spans="2:2" x14ac:dyDescent="0.45">
      <c r="B332">
        <v>6</v>
      </c>
    </row>
    <row r="333" spans="2:2" x14ac:dyDescent="0.45">
      <c r="B333">
        <v>12</v>
      </c>
    </row>
    <row r="334" spans="2:2" x14ac:dyDescent="0.45">
      <c r="B334">
        <v>107</v>
      </c>
    </row>
    <row r="335" spans="2:2" x14ac:dyDescent="0.45">
      <c r="B335">
        <v>356</v>
      </c>
    </row>
    <row r="336" spans="2:2" x14ac:dyDescent="0.45">
      <c r="B336">
        <v>291</v>
      </c>
    </row>
    <row r="337" spans="2:2" x14ac:dyDescent="0.45">
      <c r="B337">
        <v>174</v>
      </c>
    </row>
    <row r="338" spans="2:2" x14ac:dyDescent="0.45">
      <c r="B338">
        <v>309</v>
      </c>
    </row>
    <row r="339" spans="2:2" x14ac:dyDescent="0.45">
      <c r="B339">
        <v>405</v>
      </c>
    </row>
    <row r="340" spans="2:2" x14ac:dyDescent="0.45">
      <c r="B340">
        <v>257</v>
      </c>
    </row>
    <row r="341" spans="2:2" x14ac:dyDescent="0.45">
      <c r="B341">
        <v>73</v>
      </c>
    </row>
    <row r="342" spans="2:2" x14ac:dyDescent="0.45">
      <c r="B342">
        <v>16</v>
      </c>
    </row>
    <row r="343" spans="2:2" x14ac:dyDescent="0.45">
      <c r="B343">
        <v>14</v>
      </c>
    </row>
    <row r="344" spans="2:2" x14ac:dyDescent="0.45">
      <c r="B344">
        <v>133</v>
      </c>
    </row>
    <row r="345" spans="2:2" x14ac:dyDescent="0.45">
      <c r="B345">
        <v>384</v>
      </c>
    </row>
    <row r="346" spans="2:2" x14ac:dyDescent="0.45">
      <c r="B346">
        <v>315</v>
      </c>
    </row>
    <row r="347" spans="2:2" x14ac:dyDescent="0.45">
      <c r="B347">
        <v>153</v>
      </c>
    </row>
    <row r="348" spans="2:2" x14ac:dyDescent="0.45">
      <c r="B348">
        <v>274</v>
      </c>
    </row>
    <row r="349" spans="2:2" x14ac:dyDescent="0.45">
      <c r="B349">
        <v>394</v>
      </c>
    </row>
    <row r="350" spans="2:2" x14ac:dyDescent="0.45">
      <c r="B350">
        <v>251</v>
      </c>
    </row>
    <row r="351" spans="2:2" x14ac:dyDescent="0.45">
      <c r="B351">
        <v>70</v>
      </c>
    </row>
    <row r="352" spans="2:2" x14ac:dyDescent="0.45">
      <c r="B352">
        <v>12</v>
      </c>
    </row>
    <row r="353" spans="2:2" x14ac:dyDescent="0.45">
      <c r="B353">
        <v>39</v>
      </c>
    </row>
    <row r="354" spans="2:2" x14ac:dyDescent="0.45">
      <c r="B354">
        <v>223</v>
      </c>
    </row>
    <row r="355" spans="2:2" x14ac:dyDescent="0.45">
      <c r="B355">
        <v>374</v>
      </c>
    </row>
    <row r="356" spans="2:2" x14ac:dyDescent="0.45">
      <c r="B356">
        <v>301</v>
      </c>
    </row>
    <row r="357" spans="2:2" x14ac:dyDescent="0.45">
      <c r="B357">
        <v>152</v>
      </c>
    </row>
    <row r="358" spans="2:2" x14ac:dyDescent="0.45">
      <c r="B358">
        <v>222</v>
      </c>
    </row>
    <row r="359" spans="2:2" x14ac:dyDescent="0.45">
      <c r="B359">
        <v>363</v>
      </c>
    </row>
    <row r="360" spans="2:2" x14ac:dyDescent="0.45">
      <c r="B360">
        <v>223</v>
      </c>
    </row>
    <row r="361" spans="2:2" x14ac:dyDescent="0.45">
      <c r="B361">
        <v>86</v>
      </c>
    </row>
    <row r="362" spans="2:2" x14ac:dyDescent="0.45">
      <c r="B362">
        <v>17</v>
      </c>
    </row>
    <row r="363" spans="2:2" x14ac:dyDescent="0.45">
      <c r="B363">
        <v>28</v>
      </c>
    </row>
    <row r="364" spans="2:2" x14ac:dyDescent="0.45">
      <c r="B364">
        <v>235</v>
      </c>
    </row>
    <row r="365" spans="2:2" x14ac:dyDescent="0.45">
      <c r="B365">
        <v>465</v>
      </c>
    </row>
    <row r="366" spans="2:2" x14ac:dyDescent="0.45">
      <c r="B366">
        <v>284</v>
      </c>
    </row>
    <row r="367" spans="2:2" x14ac:dyDescent="0.45">
      <c r="B367">
        <v>181</v>
      </c>
    </row>
    <row r="368" spans="2:2" x14ac:dyDescent="0.45">
      <c r="B368">
        <v>282</v>
      </c>
    </row>
    <row r="369" spans="2:2" x14ac:dyDescent="0.45">
      <c r="B369">
        <v>297</v>
      </c>
    </row>
    <row r="370" spans="2:2" x14ac:dyDescent="0.45">
      <c r="B370">
        <v>176</v>
      </c>
    </row>
    <row r="371" spans="2:2" x14ac:dyDescent="0.45">
      <c r="B371">
        <v>46</v>
      </c>
    </row>
    <row r="372" spans="2:2" x14ac:dyDescent="0.45">
      <c r="B372">
        <v>6</v>
      </c>
    </row>
    <row r="373" spans="2:2" x14ac:dyDescent="0.45">
      <c r="B373">
        <v>28</v>
      </c>
    </row>
    <row r="374" spans="2:2" x14ac:dyDescent="0.45">
      <c r="B374">
        <v>182</v>
      </c>
    </row>
    <row r="375" spans="2:2" x14ac:dyDescent="0.45">
      <c r="B375">
        <v>464</v>
      </c>
    </row>
    <row r="376" spans="2:2" x14ac:dyDescent="0.45">
      <c r="B376">
        <v>365</v>
      </c>
    </row>
    <row r="377" spans="2:2" x14ac:dyDescent="0.45">
      <c r="B377">
        <v>169</v>
      </c>
    </row>
    <row r="378" spans="2:2" x14ac:dyDescent="0.45">
      <c r="B378">
        <v>219</v>
      </c>
    </row>
    <row r="379" spans="2:2" x14ac:dyDescent="0.45">
      <c r="B379">
        <v>299</v>
      </c>
    </row>
    <row r="380" spans="2:2" x14ac:dyDescent="0.45">
      <c r="B380">
        <v>197</v>
      </c>
    </row>
    <row r="381" spans="2:2" x14ac:dyDescent="0.45">
      <c r="B381">
        <v>68</v>
      </c>
    </row>
    <row r="382" spans="2:2" x14ac:dyDescent="0.45">
      <c r="B382">
        <v>9</v>
      </c>
    </row>
    <row r="383" spans="2:2" x14ac:dyDescent="0.45">
      <c r="B383">
        <v>41</v>
      </c>
    </row>
    <row r="384" spans="2:2" x14ac:dyDescent="0.45">
      <c r="B384">
        <v>314</v>
      </c>
    </row>
    <row r="385" spans="2:2" x14ac:dyDescent="0.45">
      <c r="B385">
        <v>501</v>
      </c>
    </row>
    <row r="386" spans="2:2" x14ac:dyDescent="0.45">
      <c r="B386">
        <v>301</v>
      </c>
    </row>
    <row r="387" spans="2:2" x14ac:dyDescent="0.45">
      <c r="B387">
        <v>148</v>
      </c>
    </row>
    <row r="388" spans="2:2" x14ac:dyDescent="0.45">
      <c r="B388">
        <v>217</v>
      </c>
    </row>
    <row r="389" spans="2:2" x14ac:dyDescent="0.45">
      <c r="B389">
        <v>265</v>
      </c>
    </row>
    <row r="390" spans="2:2" x14ac:dyDescent="0.45">
      <c r="B390">
        <v>164</v>
      </c>
    </row>
    <row r="391" spans="2:2" x14ac:dyDescent="0.45">
      <c r="B391">
        <v>43</v>
      </c>
    </row>
    <row r="392" spans="2:2" x14ac:dyDescent="0.45">
      <c r="B392">
        <v>6</v>
      </c>
    </row>
    <row r="393" spans="2:2" x14ac:dyDescent="0.45">
      <c r="B393">
        <v>19</v>
      </c>
    </row>
    <row r="394" spans="2:2" x14ac:dyDescent="0.45">
      <c r="B394">
        <v>254</v>
      </c>
    </row>
    <row r="395" spans="2:2" x14ac:dyDescent="0.45">
      <c r="B395">
        <v>596</v>
      </c>
    </row>
    <row r="396" spans="2:2" x14ac:dyDescent="0.45">
      <c r="B396">
        <v>340</v>
      </c>
    </row>
    <row r="397" spans="2:2" x14ac:dyDescent="0.45">
      <c r="B397">
        <v>136</v>
      </c>
    </row>
    <row r="398" spans="2:2" x14ac:dyDescent="0.45">
      <c r="B398">
        <v>242</v>
      </c>
    </row>
    <row r="399" spans="2:2" x14ac:dyDescent="0.45">
      <c r="B399">
        <v>271</v>
      </c>
    </row>
    <row r="400" spans="2:2" x14ac:dyDescent="0.45">
      <c r="B400">
        <v>109</v>
      </c>
    </row>
    <row r="401" spans="2:2" x14ac:dyDescent="0.45">
      <c r="B401">
        <v>29</v>
      </c>
    </row>
    <row r="402" spans="2:2" x14ac:dyDescent="0.45">
      <c r="B402">
        <v>4</v>
      </c>
    </row>
    <row r="403" spans="2:2" x14ac:dyDescent="0.45">
      <c r="B403">
        <v>30</v>
      </c>
    </row>
    <row r="404" spans="2:2" x14ac:dyDescent="0.45">
      <c r="B404">
        <v>211</v>
      </c>
    </row>
    <row r="405" spans="2:2" x14ac:dyDescent="0.45">
      <c r="B405">
        <v>549</v>
      </c>
    </row>
    <row r="406" spans="2:2" x14ac:dyDescent="0.45">
      <c r="B406">
        <v>422</v>
      </c>
    </row>
    <row r="407" spans="2:2" x14ac:dyDescent="0.45">
      <c r="B407">
        <v>133</v>
      </c>
    </row>
    <row r="408" spans="2:2" x14ac:dyDescent="0.45">
      <c r="B408">
        <v>156</v>
      </c>
    </row>
    <row r="409" spans="2:2" x14ac:dyDescent="0.45">
      <c r="B409">
        <v>265</v>
      </c>
    </row>
    <row r="410" spans="2:2" x14ac:dyDescent="0.45">
      <c r="B410">
        <v>166</v>
      </c>
    </row>
    <row r="411" spans="2:2" x14ac:dyDescent="0.45">
      <c r="B411">
        <v>59</v>
      </c>
    </row>
    <row r="412" spans="2:2" x14ac:dyDescent="0.45">
      <c r="B412">
        <v>9</v>
      </c>
    </row>
    <row r="413" spans="2:2" x14ac:dyDescent="0.45">
      <c r="B413">
        <v>28</v>
      </c>
    </row>
    <row r="414" spans="2:2" x14ac:dyDescent="0.45">
      <c r="B414">
        <v>265</v>
      </c>
    </row>
    <row r="415" spans="2:2" x14ac:dyDescent="0.45">
      <c r="B415">
        <v>560</v>
      </c>
    </row>
    <row r="416" spans="2:2" x14ac:dyDescent="0.45">
      <c r="B416">
        <v>442</v>
      </c>
    </row>
    <row r="417" spans="2:2" x14ac:dyDescent="0.45">
      <c r="B417">
        <v>143</v>
      </c>
    </row>
    <row r="418" spans="2:2" x14ac:dyDescent="0.45">
      <c r="B418">
        <v>159</v>
      </c>
    </row>
    <row r="419" spans="2:2" x14ac:dyDescent="0.45">
      <c r="B419">
        <v>226</v>
      </c>
    </row>
    <row r="420" spans="2:2" x14ac:dyDescent="0.45">
      <c r="B420">
        <v>130</v>
      </c>
    </row>
    <row r="421" spans="2:2" x14ac:dyDescent="0.45">
      <c r="B421">
        <v>41</v>
      </c>
    </row>
    <row r="422" spans="2:2" x14ac:dyDescent="0.45">
      <c r="B422">
        <v>6</v>
      </c>
    </row>
    <row r="423" spans="2:2" x14ac:dyDescent="0.45">
      <c r="B423">
        <v>39</v>
      </c>
    </row>
    <row r="424" spans="2:2" x14ac:dyDescent="0.45">
      <c r="B424">
        <v>323</v>
      </c>
    </row>
    <row r="425" spans="2:2" x14ac:dyDescent="0.45">
      <c r="B425">
        <v>634</v>
      </c>
    </row>
    <row r="426" spans="2:2" x14ac:dyDescent="0.45">
      <c r="B426">
        <v>384</v>
      </c>
    </row>
    <row r="427" spans="2:2" x14ac:dyDescent="0.45">
      <c r="B427">
        <v>136</v>
      </c>
    </row>
    <row r="428" spans="2:2" x14ac:dyDescent="0.45">
      <c r="B428">
        <v>147</v>
      </c>
    </row>
    <row r="429" spans="2:2" x14ac:dyDescent="0.45">
      <c r="B429">
        <v>183</v>
      </c>
    </row>
    <row r="430" spans="2:2" x14ac:dyDescent="0.45">
      <c r="B430">
        <v>122</v>
      </c>
    </row>
    <row r="431" spans="2:2" x14ac:dyDescent="0.45">
      <c r="B431">
        <v>28</v>
      </c>
    </row>
    <row r="432" spans="2:2" x14ac:dyDescent="0.45">
      <c r="B432">
        <v>4</v>
      </c>
    </row>
    <row r="433" spans="2:2" x14ac:dyDescent="0.45">
      <c r="B433">
        <v>40</v>
      </c>
    </row>
    <row r="434" spans="2:2" x14ac:dyDescent="0.45">
      <c r="B434">
        <v>242</v>
      </c>
    </row>
    <row r="435" spans="2:2" x14ac:dyDescent="0.45">
      <c r="B435">
        <v>548</v>
      </c>
    </row>
    <row r="436" spans="2:2" x14ac:dyDescent="0.45">
      <c r="B436">
        <v>509</v>
      </c>
    </row>
    <row r="437" spans="2:2" x14ac:dyDescent="0.45">
      <c r="B437">
        <v>171</v>
      </c>
    </row>
    <row r="438" spans="2:2" x14ac:dyDescent="0.45">
      <c r="B438">
        <v>111</v>
      </c>
    </row>
    <row r="439" spans="2:2" x14ac:dyDescent="0.45">
      <c r="B439">
        <v>131</v>
      </c>
    </row>
    <row r="440" spans="2:2" x14ac:dyDescent="0.45">
      <c r="B440">
        <v>165</v>
      </c>
    </row>
    <row r="441" spans="2:2" x14ac:dyDescent="0.45">
      <c r="B441">
        <v>62</v>
      </c>
    </row>
    <row r="442" spans="2:2" x14ac:dyDescent="0.45">
      <c r="B442">
        <v>21</v>
      </c>
    </row>
    <row r="443" spans="2:2" x14ac:dyDescent="0.45">
      <c r="B443">
        <v>37</v>
      </c>
    </row>
    <row r="444" spans="2:2" x14ac:dyDescent="0.45">
      <c r="B444">
        <v>319</v>
      </c>
    </row>
    <row r="445" spans="2:2" x14ac:dyDescent="0.45">
      <c r="B445">
        <v>675</v>
      </c>
    </row>
    <row r="446" spans="2:2" x14ac:dyDescent="0.45">
      <c r="B446">
        <v>455</v>
      </c>
    </row>
    <row r="447" spans="2:2" x14ac:dyDescent="0.45">
      <c r="B447">
        <v>134</v>
      </c>
    </row>
    <row r="448" spans="2:2" x14ac:dyDescent="0.45">
      <c r="B448">
        <v>89</v>
      </c>
    </row>
    <row r="449" spans="2:2" x14ac:dyDescent="0.45">
      <c r="B449">
        <v>131</v>
      </c>
    </row>
    <row r="450" spans="2:2" x14ac:dyDescent="0.45">
      <c r="B450">
        <v>119</v>
      </c>
    </row>
    <row r="451" spans="2:2" x14ac:dyDescent="0.45">
      <c r="B451">
        <v>35</v>
      </c>
    </row>
    <row r="452" spans="2:2" x14ac:dyDescent="0.45">
      <c r="B452">
        <v>6</v>
      </c>
    </row>
    <row r="453" spans="2:2" x14ac:dyDescent="0.45">
      <c r="B453">
        <v>4</v>
      </c>
    </row>
    <row r="454" spans="2:2" x14ac:dyDescent="0.45">
      <c r="B454">
        <v>135</v>
      </c>
    </row>
    <row r="455" spans="2:2" x14ac:dyDescent="0.45">
      <c r="B455">
        <v>511</v>
      </c>
    </row>
    <row r="456" spans="2:2" x14ac:dyDescent="0.45">
      <c r="B456">
        <v>706</v>
      </c>
    </row>
    <row r="457" spans="2:2" x14ac:dyDescent="0.45">
      <c r="B457">
        <v>283</v>
      </c>
    </row>
    <row r="458" spans="2:2" x14ac:dyDescent="0.45">
      <c r="B458">
        <v>75</v>
      </c>
    </row>
    <row r="459" spans="2:2" x14ac:dyDescent="0.45">
      <c r="B459">
        <v>115</v>
      </c>
    </row>
    <row r="460" spans="2:2" x14ac:dyDescent="0.45">
      <c r="B460">
        <v>111</v>
      </c>
    </row>
    <row r="461" spans="2:2" x14ac:dyDescent="0.45">
      <c r="B461">
        <v>53</v>
      </c>
    </row>
    <row r="462" spans="2:2" x14ac:dyDescent="0.45">
      <c r="B462">
        <v>7</v>
      </c>
    </row>
    <row r="463" spans="2:2" x14ac:dyDescent="0.45">
      <c r="B463">
        <v>48</v>
      </c>
    </row>
    <row r="464" spans="2:2" x14ac:dyDescent="0.45">
      <c r="B464">
        <v>339</v>
      </c>
    </row>
    <row r="465" spans="2:2" x14ac:dyDescent="0.45">
      <c r="B465">
        <v>785</v>
      </c>
    </row>
    <row r="466" spans="2:2" x14ac:dyDescent="0.45">
      <c r="B466">
        <v>441</v>
      </c>
    </row>
    <row r="467" spans="2:2" x14ac:dyDescent="0.45">
      <c r="B467">
        <v>141</v>
      </c>
    </row>
    <row r="468" spans="2:2" x14ac:dyDescent="0.45">
      <c r="B468">
        <v>79</v>
      </c>
    </row>
    <row r="469" spans="2:2" x14ac:dyDescent="0.45">
      <c r="B469">
        <v>79</v>
      </c>
    </row>
    <row r="470" spans="2:2" x14ac:dyDescent="0.45">
      <c r="B470">
        <v>69</v>
      </c>
    </row>
    <row r="471" spans="2:2" x14ac:dyDescent="0.45">
      <c r="B471">
        <v>16</v>
      </c>
    </row>
    <row r="472" spans="2:2" x14ac:dyDescent="0.45">
      <c r="B472">
        <v>3</v>
      </c>
    </row>
    <row r="473" spans="2:2" x14ac:dyDescent="0.45">
      <c r="B473">
        <v>18</v>
      </c>
    </row>
    <row r="474" spans="2:2" x14ac:dyDescent="0.45">
      <c r="B474">
        <v>222</v>
      </c>
    </row>
    <row r="475" spans="2:2" x14ac:dyDescent="0.45">
      <c r="B475">
        <v>609</v>
      </c>
    </row>
    <row r="476" spans="2:2" x14ac:dyDescent="0.45">
      <c r="B476">
        <v>677</v>
      </c>
    </row>
    <row r="477" spans="2:2" x14ac:dyDescent="0.45">
      <c r="B477">
        <v>259</v>
      </c>
    </row>
    <row r="478" spans="2:2" x14ac:dyDescent="0.45">
      <c r="B478">
        <v>56</v>
      </c>
    </row>
    <row r="479" spans="2:2" x14ac:dyDescent="0.45">
      <c r="B479">
        <v>62</v>
      </c>
    </row>
    <row r="480" spans="2:2" x14ac:dyDescent="0.45">
      <c r="B480">
        <v>57</v>
      </c>
    </row>
    <row r="481" spans="2:2" x14ac:dyDescent="0.45">
      <c r="B481">
        <v>32</v>
      </c>
    </row>
    <row r="482" spans="2:2" x14ac:dyDescent="0.45">
      <c r="B482">
        <v>8</v>
      </c>
    </row>
    <row r="483" spans="2:2" x14ac:dyDescent="0.45">
      <c r="B483">
        <v>47</v>
      </c>
    </row>
    <row r="484" spans="2:2" x14ac:dyDescent="0.45">
      <c r="B484">
        <v>392</v>
      </c>
    </row>
    <row r="485" spans="2:2" x14ac:dyDescent="0.45">
      <c r="B485">
        <v>686</v>
      </c>
    </row>
    <row r="486" spans="2:2" x14ac:dyDescent="0.45">
      <c r="B486">
        <v>572</v>
      </c>
    </row>
    <row r="487" spans="2:2" x14ac:dyDescent="0.45">
      <c r="B487">
        <v>154</v>
      </c>
    </row>
    <row r="488" spans="2:2" x14ac:dyDescent="0.45">
      <c r="B488">
        <v>36</v>
      </c>
    </row>
    <row r="489" spans="2:2" x14ac:dyDescent="0.45">
      <c r="B489">
        <v>40</v>
      </c>
    </row>
    <row r="490" spans="2:2" x14ac:dyDescent="0.45">
      <c r="B490">
        <v>41</v>
      </c>
    </row>
    <row r="491" spans="2:2" x14ac:dyDescent="0.45">
      <c r="B491">
        <v>29</v>
      </c>
    </row>
    <row r="492" spans="2:2" x14ac:dyDescent="0.45">
      <c r="B492">
        <v>3</v>
      </c>
    </row>
    <row r="493" spans="2:2" x14ac:dyDescent="0.45">
      <c r="B493">
        <v>9</v>
      </c>
    </row>
    <row r="494" spans="2:2" x14ac:dyDescent="0.45">
      <c r="B494">
        <v>122</v>
      </c>
    </row>
    <row r="495" spans="2:2" x14ac:dyDescent="0.45">
      <c r="B495">
        <v>546</v>
      </c>
    </row>
    <row r="496" spans="2:2" x14ac:dyDescent="0.45">
      <c r="B496">
        <v>800</v>
      </c>
    </row>
    <row r="497" spans="2:2" x14ac:dyDescent="0.45">
      <c r="B497">
        <v>382</v>
      </c>
    </row>
    <row r="498" spans="2:2" x14ac:dyDescent="0.45">
      <c r="B498">
        <v>79</v>
      </c>
    </row>
    <row r="499" spans="2:2" x14ac:dyDescent="0.45">
      <c r="B499">
        <v>22</v>
      </c>
    </row>
    <row r="500" spans="2:2" x14ac:dyDescent="0.45">
      <c r="B500">
        <v>18</v>
      </c>
    </row>
    <row r="501" spans="2:2" x14ac:dyDescent="0.45">
      <c r="B501">
        <v>20</v>
      </c>
    </row>
    <row r="502" spans="2:2" x14ac:dyDescent="0.45">
      <c r="B502">
        <v>2</v>
      </c>
    </row>
    <row r="503" spans="2:2" x14ac:dyDescent="0.45">
      <c r="B503">
        <v>22</v>
      </c>
    </row>
    <row r="504" spans="2:2" x14ac:dyDescent="0.45">
      <c r="B504">
        <v>85</v>
      </c>
    </row>
    <row r="505" spans="2:2" x14ac:dyDescent="0.45">
      <c r="B505">
        <v>205</v>
      </c>
    </row>
    <row r="506" spans="2:2" x14ac:dyDescent="0.45">
      <c r="B506">
        <v>443</v>
      </c>
    </row>
    <row r="507" spans="2:2" x14ac:dyDescent="0.45">
      <c r="B507">
        <v>521</v>
      </c>
    </row>
    <row r="508" spans="2:2" x14ac:dyDescent="0.45">
      <c r="B508">
        <v>352</v>
      </c>
    </row>
    <row r="509" spans="2:2" x14ac:dyDescent="0.45">
      <c r="B509">
        <v>258</v>
      </c>
    </row>
    <row r="510" spans="2:2" x14ac:dyDescent="0.45">
      <c r="B510">
        <v>67</v>
      </c>
    </row>
    <row r="511" spans="2:2" x14ac:dyDescent="0.45">
      <c r="B511">
        <v>36</v>
      </c>
    </row>
    <row r="512" spans="2:2" x14ac:dyDescent="0.45">
      <c r="B512">
        <v>11</v>
      </c>
    </row>
    <row r="513" spans="2:2" x14ac:dyDescent="0.45">
      <c r="B513">
        <v>13</v>
      </c>
    </row>
    <row r="514" spans="2:2" x14ac:dyDescent="0.45">
      <c r="B514">
        <v>61</v>
      </c>
    </row>
    <row r="515" spans="2:2" x14ac:dyDescent="0.45">
      <c r="B515">
        <v>183</v>
      </c>
    </row>
    <row r="516" spans="2:2" x14ac:dyDescent="0.45">
      <c r="B516">
        <v>403</v>
      </c>
    </row>
    <row r="517" spans="2:2" x14ac:dyDescent="0.45">
      <c r="B517">
        <v>461</v>
      </c>
    </row>
    <row r="518" spans="2:2" x14ac:dyDescent="0.45">
      <c r="B518">
        <v>466</v>
      </c>
    </row>
    <row r="519" spans="2:2" x14ac:dyDescent="0.45">
      <c r="B519">
        <v>239</v>
      </c>
    </row>
    <row r="520" spans="2:2" x14ac:dyDescent="0.45">
      <c r="B520">
        <v>133</v>
      </c>
    </row>
    <row r="521" spans="2:2" x14ac:dyDescent="0.45">
      <c r="B521">
        <v>27</v>
      </c>
    </row>
    <row r="522" spans="2:2" x14ac:dyDescent="0.45">
      <c r="B522">
        <v>14</v>
      </c>
    </row>
    <row r="523" spans="2:2" x14ac:dyDescent="0.45">
      <c r="B523">
        <v>12</v>
      </c>
    </row>
    <row r="524" spans="2:2" x14ac:dyDescent="0.45">
      <c r="B524">
        <v>53</v>
      </c>
    </row>
    <row r="525" spans="2:2" x14ac:dyDescent="0.45">
      <c r="B525">
        <v>188</v>
      </c>
    </row>
    <row r="526" spans="2:2" x14ac:dyDescent="0.45">
      <c r="B526">
        <v>403</v>
      </c>
    </row>
    <row r="527" spans="2:2" x14ac:dyDescent="0.45">
      <c r="B527">
        <v>592</v>
      </c>
    </row>
    <row r="528" spans="2:2" x14ac:dyDescent="0.45">
      <c r="B528">
        <v>399</v>
      </c>
    </row>
    <row r="529" spans="2:2" x14ac:dyDescent="0.45">
      <c r="B529">
        <v>228</v>
      </c>
    </row>
    <row r="530" spans="2:2" x14ac:dyDescent="0.45">
      <c r="B530">
        <v>93</v>
      </c>
    </row>
    <row r="531" spans="2:2" x14ac:dyDescent="0.45">
      <c r="B531">
        <v>25</v>
      </c>
    </row>
    <row r="532" spans="2:2" x14ac:dyDescent="0.45">
      <c r="B532">
        <v>7</v>
      </c>
    </row>
    <row r="533" spans="2:2" x14ac:dyDescent="0.45">
      <c r="B533">
        <v>7</v>
      </c>
    </row>
    <row r="534" spans="2:2" x14ac:dyDescent="0.45">
      <c r="B534">
        <v>64</v>
      </c>
    </row>
    <row r="535" spans="2:2" x14ac:dyDescent="0.45">
      <c r="B535">
        <v>175</v>
      </c>
    </row>
    <row r="536" spans="2:2" x14ac:dyDescent="0.45">
      <c r="B536">
        <v>358</v>
      </c>
    </row>
    <row r="537" spans="2:2" x14ac:dyDescent="0.45">
      <c r="B537">
        <v>538</v>
      </c>
    </row>
    <row r="538" spans="2:2" x14ac:dyDescent="0.45">
      <c r="B538">
        <v>462</v>
      </c>
    </row>
    <row r="539" spans="2:2" x14ac:dyDescent="0.45">
      <c r="B539">
        <v>256</v>
      </c>
    </row>
    <row r="540" spans="2:2" x14ac:dyDescent="0.45">
      <c r="B540">
        <v>110</v>
      </c>
    </row>
    <row r="541" spans="2:2" x14ac:dyDescent="0.45">
      <c r="B541">
        <v>19</v>
      </c>
    </row>
    <row r="542" spans="2:2" x14ac:dyDescent="0.45">
      <c r="B542">
        <v>11</v>
      </c>
    </row>
    <row r="543" spans="2:2" x14ac:dyDescent="0.45">
      <c r="B543">
        <v>13</v>
      </c>
    </row>
    <row r="544" spans="2:2" x14ac:dyDescent="0.45">
      <c r="B544">
        <v>89</v>
      </c>
    </row>
    <row r="545" spans="2:2" x14ac:dyDescent="0.45">
      <c r="B545">
        <v>245</v>
      </c>
    </row>
    <row r="546" spans="2:2" x14ac:dyDescent="0.45">
      <c r="B546">
        <v>382</v>
      </c>
    </row>
    <row r="547" spans="2:2" x14ac:dyDescent="0.45">
      <c r="B547">
        <v>517</v>
      </c>
    </row>
    <row r="548" spans="2:2" x14ac:dyDescent="0.45">
      <c r="B548">
        <v>392</v>
      </c>
    </row>
    <row r="549" spans="2:2" x14ac:dyDescent="0.45">
      <c r="B549">
        <v>219</v>
      </c>
    </row>
    <row r="550" spans="2:2" x14ac:dyDescent="0.45">
      <c r="B550">
        <v>104</v>
      </c>
    </row>
    <row r="551" spans="2:2" x14ac:dyDescent="0.45">
      <c r="B551">
        <v>35</v>
      </c>
    </row>
    <row r="552" spans="2:2" x14ac:dyDescent="0.45">
      <c r="B552">
        <v>4</v>
      </c>
    </row>
    <row r="553" spans="2:2" x14ac:dyDescent="0.45">
      <c r="B553">
        <v>13</v>
      </c>
    </row>
    <row r="554" spans="2:2" x14ac:dyDescent="0.45">
      <c r="B554">
        <v>57</v>
      </c>
    </row>
    <row r="555" spans="2:2" x14ac:dyDescent="0.45">
      <c r="B555">
        <v>182</v>
      </c>
    </row>
    <row r="556" spans="2:2" x14ac:dyDescent="0.45">
      <c r="B556">
        <v>368</v>
      </c>
    </row>
    <row r="557" spans="2:2" x14ac:dyDescent="0.45">
      <c r="B557">
        <v>541</v>
      </c>
    </row>
    <row r="558" spans="2:2" x14ac:dyDescent="0.45">
      <c r="B558">
        <v>440</v>
      </c>
    </row>
    <row r="559" spans="2:2" x14ac:dyDescent="0.45">
      <c r="B559">
        <v>259</v>
      </c>
    </row>
    <row r="560" spans="2:2" x14ac:dyDescent="0.45">
      <c r="B560">
        <v>110</v>
      </c>
    </row>
    <row r="561" spans="2:2" x14ac:dyDescent="0.45">
      <c r="B561">
        <v>24</v>
      </c>
    </row>
    <row r="562" spans="2:2" x14ac:dyDescent="0.45">
      <c r="B562">
        <v>6</v>
      </c>
    </row>
    <row r="563" spans="2:2" x14ac:dyDescent="0.45">
      <c r="B563">
        <v>7</v>
      </c>
    </row>
    <row r="564" spans="2:2" x14ac:dyDescent="0.45">
      <c r="B564">
        <v>55</v>
      </c>
    </row>
    <row r="565" spans="2:2" x14ac:dyDescent="0.45">
      <c r="B565">
        <v>193</v>
      </c>
    </row>
    <row r="566" spans="2:2" x14ac:dyDescent="0.45">
      <c r="B566">
        <v>367</v>
      </c>
    </row>
    <row r="567" spans="2:2" x14ac:dyDescent="0.45">
      <c r="B567">
        <v>541</v>
      </c>
    </row>
    <row r="568" spans="2:2" x14ac:dyDescent="0.45">
      <c r="B568">
        <v>366</v>
      </c>
    </row>
    <row r="569" spans="2:2" x14ac:dyDescent="0.45">
      <c r="B569">
        <v>320</v>
      </c>
    </row>
    <row r="570" spans="2:2" x14ac:dyDescent="0.45">
      <c r="B570">
        <v>108</v>
      </c>
    </row>
    <row r="571" spans="2:2" x14ac:dyDescent="0.45">
      <c r="B571">
        <v>33</v>
      </c>
    </row>
    <row r="572" spans="2:2" x14ac:dyDescent="0.45">
      <c r="B572">
        <v>10</v>
      </c>
    </row>
    <row r="573" spans="2:2" x14ac:dyDescent="0.45">
      <c r="B573">
        <v>20</v>
      </c>
    </row>
    <row r="574" spans="2:2" x14ac:dyDescent="0.45">
      <c r="B574">
        <v>70</v>
      </c>
    </row>
    <row r="575" spans="2:2" x14ac:dyDescent="0.45">
      <c r="B575">
        <v>276</v>
      </c>
    </row>
    <row r="576" spans="2:2" x14ac:dyDescent="0.45">
      <c r="B576">
        <v>479</v>
      </c>
    </row>
    <row r="577" spans="2:2" x14ac:dyDescent="0.45">
      <c r="B577">
        <v>632</v>
      </c>
    </row>
    <row r="578" spans="2:2" x14ac:dyDescent="0.45">
      <c r="B578">
        <v>358</v>
      </c>
    </row>
    <row r="579" spans="2:2" x14ac:dyDescent="0.45">
      <c r="B579">
        <v>131</v>
      </c>
    </row>
    <row r="580" spans="2:2" x14ac:dyDescent="0.45">
      <c r="B580">
        <v>24</v>
      </c>
    </row>
    <row r="581" spans="2:2" x14ac:dyDescent="0.45">
      <c r="B581">
        <v>9</v>
      </c>
    </row>
    <row r="582" spans="2:2" x14ac:dyDescent="0.45">
      <c r="B582">
        <v>1</v>
      </c>
    </row>
    <row r="583" spans="2:2" x14ac:dyDescent="0.45">
      <c r="B583">
        <v>4</v>
      </c>
    </row>
    <row r="584" spans="2:2" x14ac:dyDescent="0.45">
      <c r="B584">
        <v>36</v>
      </c>
    </row>
    <row r="585" spans="2:2" x14ac:dyDescent="0.45">
      <c r="B585">
        <v>153</v>
      </c>
    </row>
    <row r="586" spans="2:2" x14ac:dyDescent="0.45">
      <c r="B586">
        <v>383</v>
      </c>
    </row>
    <row r="587" spans="2:2" x14ac:dyDescent="0.45">
      <c r="B587">
        <v>533</v>
      </c>
    </row>
    <row r="588" spans="2:2" x14ac:dyDescent="0.45">
      <c r="B588">
        <v>508</v>
      </c>
    </row>
    <row r="589" spans="2:2" x14ac:dyDescent="0.45">
      <c r="B589">
        <v>241</v>
      </c>
    </row>
    <row r="590" spans="2:2" x14ac:dyDescent="0.45">
      <c r="B590">
        <v>101</v>
      </c>
    </row>
    <row r="591" spans="2:2" x14ac:dyDescent="0.45">
      <c r="B591">
        <v>35</v>
      </c>
    </row>
    <row r="592" spans="2:2" x14ac:dyDescent="0.45">
      <c r="B592">
        <v>6</v>
      </c>
    </row>
    <row r="593" spans="2:2" x14ac:dyDescent="0.45">
      <c r="B593">
        <v>5</v>
      </c>
    </row>
    <row r="594" spans="2:2" x14ac:dyDescent="0.45">
      <c r="B594">
        <v>36</v>
      </c>
    </row>
    <row r="595" spans="2:2" x14ac:dyDescent="0.45">
      <c r="B595">
        <v>114</v>
      </c>
    </row>
    <row r="596" spans="2:2" x14ac:dyDescent="0.45">
      <c r="B596">
        <v>348</v>
      </c>
    </row>
    <row r="597" spans="2:2" x14ac:dyDescent="0.45">
      <c r="B597">
        <v>556</v>
      </c>
    </row>
    <row r="598" spans="2:2" x14ac:dyDescent="0.45">
      <c r="B598">
        <v>487</v>
      </c>
    </row>
    <row r="599" spans="2:2" x14ac:dyDescent="0.45">
      <c r="B599">
        <v>302</v>
      </c>
    </row>
    <row r="600" spans="2:2" x14ac:dyDescent="0.45">
      <c r="B600">
        <v>111</v>
      </c>
    </row>
    <row r="601" spans="2:2" x14ac:dyDescent="0.45">
      <c r="B601">
        <v>34</v>
      </c>
    </row>
    <row r="602" spans="2:2" x14ac:dyDescent="0.45">
      <c r="B602">
        <v>7</v>
      </c>
    </row>
    <row r="603" spans="2:2" x14ac:dyDescent="0.45">
      <c r="B603">
        <v>1</v>
      </c>
    </row>
    <row r="604" spans="2:2" x14ac:dyDescent="0.45">
      <c r="B604">
        <v>24</v>
      </c>
    </row>
    <row r="605" spans="2:2" x14ac:dyDescent="0.45">
      <c r="B605">
        <v>140</v>
      </c>
    </row>
    <row r="606" spans="2:2" x14ac:dyDescent="0.45">
      <c r="B606">
        <v>379</v>
      </c>
    </row>
    <row r="607" spans="2:2" x14ac:dyDescent="0.45">
      <c r="B607">
        <v>486</v>
      </c>
    </row>
    <row r="608" spans="2:2" x14ac:dyDescent="0.45">
      <c r="B608">
        <v>507</v>
      </c>
    </row>
    <row r="609" spans="2:2" x14ac:dyDescent="0.45">
      <c r="B609">
        <v>281</v>
      </c>
    </row>
    <row r="610" spans="2:2" x14ac:dyDescent="0.45">
      <c r="B610">
        <v>141</v>
      </c>
    </row>
    <row r="611" spans="2:2" x14ac:dyDescent="0.45">
      <c r="B611">
        <v>34</v>
      </c>
    </row>
    <row r="612" spans="2:2" x14ac:dyDescent="0.45">
      <c r="B612">
        <v>7</v>
      </c>
    </row>
    <row r="613" spans="2:2" x14ac:dyDescent="0.45">
      <c r="B613">
        <v>1</v>
      </c>
    </row>
    <row r="614" spans="2:2" x14ac:dyDescent="0.45">
      <c r="B614">
        <v>8</v>
      </c>
    </row>
    <row r="615" spans="2:2" x14ac:dyDescent="0.45">
      <c r="B615">
        <v>53</v>
      </c>
    </row>
    <row r="616" spans="2:2" x14ac:dyDescent="0.45">
      <c r="B616">
        <v>223</v>
      </c>
    </row>
    <row r="617" spans="2:2" x14ac:dyDescent="0.45">
      <c r="B617">
        <v>472</v>
      </c>
    </row>
    <row r="618" spans="2:2" x14ac:dyDescent="0.45">
      <c r="B618">
        <v>563</v>
      </c>
    </row>
    <row r="619" spans="2:2" x14ac:dyDescent="0.45">
      <c r="B619">
        <v>441</v>
      </c>
    </row>
    <row r="620" spans="2:2" x14ac:dyDescent="0.45">
      <c r="B620">
        <v>186</v>
      </c>
    </row>
    <row r="621" spans="2:2" x14ac:dyDescent="0.45">
      <c r="B621">
        <v>47</v>
      </c>
    </row>
    <row r="622" spans="2:2" x14ac:dyDescent="0.45">
      <c r="B622">
        <v>6</v>
      </c>
    </row>
    <row r="623" spans="2:2" x14ac:dyDescent="0.45">
      <c r="B623">
        <v>4</v>
      </c>
    </row>
    <row r="624" spans="2:2" x14ac:dyDescent="0.45">
      <c r="B624">
        <v>33</v>
      </c>
    </row>
    <row r="625" spans="2:2" x14ac:dyDescent="0.45">
      <c r="B625">
        <v>150</v>
      </c>
    </row>
    <row r="626" spans="2:2" x14ac:dyDescent="0.45">
      <c r="B626">
        <v>343</v>
      </c>
    </row>
    <row r="627" spans="2:2" x14ac:dyDescent="0.45">
      <c r="B627">
        <v>555</v>
      </c>
    </row>
    <row r="628" spans="2:2" x14ac:dyDescent="0.45">
      <c r="B628">
        <v>464</v>
      </c>
    </row>
    <row r="629" spans="2:2" x14ac:dyDescent="0.45">
      <c r="B629">
        <v>301</v>
      </c>
    </row>
    <row r="630" spans="2:2" x14ac:dyDescent="0.45">
      <c r="B630">
        <v>117</v>
      </c>
    </row>
    <row r="631" spans="2:2" x14ac:dyDescent="0.45">
      <c r="B631">
        <v>27</v>
      </c>
    </row>
    <row r="632" spans="2:2" x14ac:dyDescent="0.45">
      <c r="B632">
        <v>6</v>
      </c>
    </row>
    <row r="633" spans="2:2" x14ac:dyDescent="0.45">
      <c r="B633">
        <v>19</v>
      </c>
    </row>
    <row r="634" spans="2:2" x14ac:dyDescent="0.45">
      <c r="B634">
        <v>65</v>
      </c>
    </row>
    <row r="635" spans="2:2" x14ac:dyDescent="0.45">
      <c r="B635">
        <v>316</v>
      </c>
    </row>
    <row r="636" spans="2:2" x14ac:dyDescent="0.45">
      <c r="B636">
        <v>499</v>
      </c>
    </row>
    <row r="637" spans="2:2" x14ac:dyDescent="0.45">
      <c r="B637">
        <v>628</v>
      </c>
    </row>
    <row r="638" spans="2:2" x14ac:dyDescent="0.45">
      <c r="B638">
        <v>315</v>
      </c>
    </row>
    <row r="639" spans="2:2" x14ac:dyDescent="0.45">
      <c r="B639">
        <v>126</v>
      </c>
    </row>
    <row r="640" spans="2:2" x14ac:dyDescent="0.45">
      <c r="B640">
        <v>27</v>
      </c>
    </row>
    <row r="641" spans="2:2" x14ac:dyDescent="0.45">
      <c r="B641">
        <v>3</v>
      </c>
    </row>
    <row r="642" spans="2:2" x14ac:dyDescent="0.45">
      <c r="B642">
        <v>2</v>
      </c>
    </row>
    <row r="643" spans="2:2" x14ac:dyDescent="0.45">
      <c r="B643">
        <v>23</v>
      </c>
    </row>
    <row r="644" spans="2:2" x14ac:dyDescent="0.45">
      <c r="B644">
        <v>112</v>
      </c>
    </row>
    <row r="645" spans="2:2" x14ac:dyDescent="0.45">
      <c r="B645">
        <v>313</v>
      </c>
    </row>
    <row r="646" spans="2:2" x14ac:dyDescent="0.45">
      <c r="B646">
        <v>527</v>
      </c>
    </row>
    <row r="647" spans="2:2" x14ac:dyDescent="0.45">
      <c r="B647">
        <v>520</v>
      </c>
    </row>
    <row r="648" spans="2:2" x14ac:dyDescent="0.45">
      <c r="B648">
        <v>336</v>
      </c>
    </row>
    <row r="649" spans="2:2" x14ac:dyDescent="0.45">
      <c r="B649">
        <v>134</v>
      </c>
    </row>
    <row r="650" spans="2:2" x14ac:dyDescent="0.45">
      <c r="B650">
        <v>32</v>
      </c>
    </row>
    <row r="651" spans="2:2" x14ac:dyDescent="0.45">
      <c r="B651">
        <v>2</v>
      </c>
    </row>
    <row r="652" spans="2:2" x14ac:dyDescent="0.45">
      <c r="B652">
        <v>1</v>
      </c>
    </row>
    <row r="653" spans="2:2" x14ac:dyDescent="0.45">
      <c r="B653">
        <v>16</v>
      </c>
    </row>
    <row r="654" spans="2:2" x14ac:dyDescent="0.45">
      <c r="B654">
        <v>78</v>
      </c>
    </row>
    <row r="655" spans="2:2" x14ac:dyDescent="0.45">
      <c r="B655">
        <v>211</v>
      </c>
    </row>
    <row r="656" spans="2:2" x14ac:dyDescent="0.45">
      <c r="B656">
        <v>491</v>
      </c>
    </row>
    <row r="657" spans="2:2" x14ac:dyDescent="0.45">
      <c r="B657">
        <v>497</v>
      </c>
    </row>
    <row r="658" spans="2:2" x14ac:dyDescent="0.45">
      <c r="B658">
        <v>424</v>
      </c>
    </row>
    <row r="659" spans="2:2" x14ac:dyDescent="0.45">
      <c r="B659">
        <v>198</v>
      </c>
    </row>
    <row r="660" spans="2:2" x14ac:dyDescent="0.45">
      <c r="B660">
        <v>69</v>
      </c>
    </row>
    <row r="661" spans="2:2" x14ac:dyDescent="0.45">
      <c r="B661">
        <v>15</v>
      </c>
    </row>
    <row r="662" spans="2:2" x14ac:dyDescent="0.45">
      <c r="B662">
        <v>1</v>
      </c>
    </row>
    <row r="663" spans="2:2" x14ac:dyDescent="0.45">
      <c r="B663">
        <v>18</v>
      </c>
    </row>
    <row r="664" spans="2:2" x14ac:dyDescent="0.45">
      <c r="B664">
        <v>134</v>
      </c>
    </row>
    <row r="665" spans="2:2" x14ac:dyDescent="0.45">
      <c r="B665">
        <v>320</v>
      </c>
    </row>
    <row r="666" spans="2:2" x14ac:dyDescent="0.45">
      <c r="B666">
        <v>588</v>
      </c>
    </row>
    <row r="667" spans="2:2" x14ac:dyDescent="0.45">
      <c r="B667">
        <v>511</v>
      </c>
    </row>
    <row r="668" spans="2:2" x14ac:dyDescent="0.45">
      <c r="B668">
        <v>322</v>
      </c>
    </row>
    <row r="669" spans="2:2" x14ac:dyDescent="0.45">
      <c r="B669">
        <v>81</v>
      </c>
    </row>
    <row r="670" spans="2:2" x14ac:dyDescent="0.45">
      <c r="B670">
        <v>20</v>
      </c>
    </row>
    <row r="671" spans="2:2" x14ac:dyDescent="0.45">
      <c r="B671">
        <v>4</v>
      </c>
    </row>
    <row r="672" spans="2:2" x14ac:dyDescent="0.45">
      <c r="B672">
        <v>2</v>
      </c>
    </row>
    <row r="673" spans="2:2" x14ac:dyDescent="0.45">
      <c r="B673">
        <v>17</v>
      </c>
    </row>
    <row r="674" spans="2:2" x14ac:dyDescent="0.45">
      <c r="B674">
        <v>74</v>
      </c>
    </row>
    <row r="675" spans="2:2" x14ac:dyDescent="0.45">
      <c r="B675">
        <v>267</v>
      </c>
    </row>
    <row r="676" spans="2:2" x14ac:dyDescent="0.45">
      <c r="B676">
        <v>425</v>
      </c>
    </row>
    <row r="677" spans="2:2" x14ac:dyDescent="0.45">
      <c r="B677">
        <v>582</v>
      </c>
    </row>
    <row r="678" spans="2:2" x14ac:dyDescent="0.45">
      <c r="B678">
        <v>398</v>
      </c>
    </row>
    <row r="679" spans="2:2" x14ac:dyDescent="0.45">
      <c r="B679">
        <v>158</v>
      </c>
    </row>
    <row r="680" spans="2:2" x14ac:dyDescent="0.45">
      <c r="B680">
        <v>61</v>
      </c>
    </row>
    <row r="681" spans="2:2" x14ac:dyDescent="0.45">
      <c r="B681">
        <v>16</v>
      </c>
    </row>
    <row r="682" spans="2:2" x14ac:dyDescent="0.45">
      <c r="B682">
        <v>2</v>
      </c>
    </row>
    <row r="683" spans="2:2" x14ac:dyDescent="0.45">
      <c r="B683">
        <v>1</v>
      </c>
    </row>
    <row r="684" spans="2:2" x14ac:dyDescent="0.45">
      <c r="B684">
        <v>0</v>
      </c>
    </row>
    <row r="685" spans="2:2" x14ac:dyDescent="0.45">
      <c r="B685">
        <v>19</v>
      </c>
    </row>
    <row r="686" spans="2:2" x14ac:dyDescent="0.45">
      <c r="B686">
        <v>82</v>
      </c>
    </row>
    <row r="687" spans="2:2" x14ac:dyDescent="0.45">
      <c r="B687">
        <v>274</v>
      </c>
    </row>
    <row r="688" spans="2:2" x14ac:dyDescent="0.45">
      <c r="B688">
        <v>536</v>
      </c>
    </row>
    <row r="689" spans="2:2" x14ac:dyDescent="0.45">
      <c r="B689">
        <v>532</v>
      </c>
    </row>
    <row r="690" spans="2:2" x14ac:dyDescent="0.45">
      <c r="B690">
        <v>357</v>
      </c>
    </row>
    <row r="691" spans="2:2" x14ac:dyDescent="0.45">
      <c r="B691">
        <v>142</v>
      </c>
    </row>
    <row r="692" spans="2:2" x14ac:dyDescent="0.45">
      <c r="B692">
        <v>57</v>
      </c>
    </row>
    <row r="693" spans="2:2" x14ac:dyDescent="0.45">
      <c r="B693">
        <v>14</v>
      </c>
    </row>
    <row r="694" spans="2:2" x14ac:dyDescent="0.45">
      <c r="B694">
        <v>88</v>
      </c>
    </row>
    <row r="695" spans="2:2" x14ac:dyDescent="0.45">
      <c r="B695">
        <v>223</v>
      </c>
    </row>
    <row r="696" spans="2:2" x14ac:dyDescent="0.45">
      <c r="B696">
        <v>381</v>
      </c>
    </row>
    <row r="697" spans="2:2" x14ac:dyDescent="0.45">
      <c r="B697">
        <v>519</v>
      </c>
    </row>
    <row r="698" spans="2:2" x14ac:dyDescent="0.45">
      <c r="B698">
        <v>349</v>
      </c>
    </row>
    <row r="699" spans="2:2" x14ac:dyDescent="0.45">
      <c r="B699">
        <v>279</v>
      </c>
    </row>
    <row r="700" spans="2:2" x14ac:dyDescent="0.45">
      <c r="B700">
        <v>94</v>
      </c>
    </row>
    <row r="701" spans="2:2" x14ac:dyDescent="0.45">
      <c r="B701">
        <v>41</v>
      </c>
    </row>
    <row r="702" spans="2:2" x14ac:dyDescent="0.45">
      <c r="B702">
        <v>12</v>
      </c>
    </row>
    <row r="703" spans="2:2" x14ac:dyDescent="0.45">
      <c r="B703">
        <v>12</v>
      </c>
    </row>
    <row r="704" spans="2:2" x14ac:dyDescent="0.45">
      <c r="B704">
        <v>47</v>
      </c>
    </row>
    <row r="705" spans="2:2" x14ac:dyDescent="0.45">
      <c r="B705">
        <v>172</v>
      </c>
    </row>
    <row r="706" spans="2:2" x14ac:dyDescent="0.45">
      <c r="B706">
        <v>411</v>
      </c>
    </row>
    <row r="707" spans="2:2" x14ac:dyDescent="0.45">
      <c r="B707">
        <v>544</v>
      </c>
    </row>
    <row r="708" spans="2:2" x14ac:dyDescent="0.45">
      <c r="B708">
        <v>466</v>
      </c>
    </row>
    <row r="709" spans="2:2" x14ac:dyDescent="0.45">
      <c r="B709">
        <v>240</v>
      </c>
    </row>
    <row r="710" spans="2:2" x14ac:dyDescent="0.45">
      <c r="B710">
        <v>82</v>
      </c>
    </row>
    <row r="711" spans="2:2" x14ac:dyDescent="0.45">
      <c r="B711">
        <v>20</v>
      </c>
    </row>
    <row r="712" spans="2:2" x14ac:dyDescent="0.45">
      <c r="B712">
        <v>6</v>
      </c>
    </row>
    <row r="713" spans="2:2" x14ac:dyDescent="0.45">
      <c r="B713">
        <v>11</v>
      </c>
    </row>
    <row r="714" spans="2:2" x14ac:dyDescent="0.45">
      <c r="B714">
        <v>47</v>
      </c>
    </row>
    <row r="715" spans="2:2" x14ac:dyDescent="0.45">
      <c r="B715">
        <v>208</v>
      </c>
    </row>
    <row r="716" spans="2:2" x14ac:dyDescent="0.45">
      <c r="B716">
        <v>345</v>
      </c>
    </row>
    <row r="717" spans="2:2" x14ac:dyDescent="0.45">
      <c r="B717">
        <v>452</v>
      </c>
    </row>
    <row r="718" spans="2:2" x14ac:dyDescent="0.45">
      <c r="B718">
        <v>455</v>
      </c>
    </row>
    <row r="719" spans="2:2" x14ac:dyDescent="0.45">
      <c r="B719">
        <v>297</v>
      </c>
    </row>
    <row r="720" spans="2:2" x14ac:dyDescent="0.45">
      <c r="B720">
        <v>129</v>
      </c>
    </row>
    <row r="721" spans="2:2" x14ac:dyDescent="0.45">
      <c r="B721">
        <v>47</v>
      </c>
    </row>
    <row r="722" spans="2:2" x14ac:dyDescent="0.45">
      <c r="B722">
        <v>9</v>
      </c>
    </row>
    <row r="723" spans="2:2" x14ac:dyDescent="0.45">
      <c r="B723">
        <v>9</v>
      </c>
    </row>
    <row r="724" spans="2:2" x14ac:dyDescent="0.45">
      <c r="B724">
        <v>54</v>
      </c>
    </row>
    <row r="725" spans="2:2" x14ac:dyDescent="0.45">
      <c r="B725">
        <v>186</v>
      </c>
    </row>
    <row r="726" spans="2:2" x14ac:dyDescent="0.45">
      <c r="B726">
        <v>319</v>
      </c>
    </row>
    <row r="727" spans="2:2" x14ac:dyDescent="0.45">
      <c r="B727">
        <v>573</v>
      </c>
    </row>
    <row r="728" spans="2:2" x14ac:dyDescent="0.45">
      <c r="B728">
        <v>422</v>
      </c>
    </row>
    <row r="729" spans="2:2" x14ac:dyDescent="0.45">
      <c r="B729">
        <v>262</v>
      </c>
    </row>
    <row r="730" spans="2:2" x14ac:dyDescent="0.45">
      <c r="B730">
        <v>126</v>
      </c>
    </row>
    <row r="731" spans="2:2" x14ac:dyDescent="0.45">
      <c r="B731">
        <v>41</v>
      </c>
    </row>
    <row r="732" spans="2:2" x14ac:dyDescent="0.45">
      <c r="B732">
        <v>8</v>
      </c>
    </row>
    <row r="733" spans="2:2" x14ac:dyDescent="0.45">
      <c r="B733">
        <v>1</v>
      </c>
    </row>
    <row r="734" spans="2:2" x14ac:dyDescent="0.45">
      <c r="B734">
        <v>11</v>
      </c>
    </row>
    <row r="735" spans="2:2" x14ac:dyDescent="0.45">
      <c r="B735">
        <v>60</v>
      </c>
    </row>
    <row r="736" spans="2:2" x14ac:dyDescent="0.45">
      <c r="B736">
        <v>233</v>
      </c>
    </row>
    <row r="737" spans="2:2" x14ac:dyDescent="0.45">
      <c r="B737">
        <v>461</v>
      </c>
    </row>
    <row r="738" spans="2:2" x14ac:dyDescent="0.45">
      <c r="B738">
        <v>491</v>
      </c>
    </row>
    <row r="739" spans="2:2" x14ac:dyDescent="0.45">
      <c r="B739">
        <v>445</v>
      </c>
    </row>
    <row r="740" spans="2:2" x14ac:dyDescent="0.45">
      <c r="B740">
        <v>202</v>
      </c>
    </row>
    <row r="741" spans="2:2" x14ac:dyDescent="0.45">
      <c r="B741">
        <v>85</v>
      </c>
    </row>
    <row r="742" spans="2:2" x14ac:dyDescent="0.45">
      <c r="B742">
        <v>11</v>
      </c>
    </row>
    <row r="743" spans="2:2" x14ac:dyDescent="0.45">
      <c r="B743">
        <v>12</v>
      </c>
    </row>
    <row r="744" spans="2:2" x14ac:dyDescent="0.45">
      <c r="B744">
        <v>73</v>
      </c>
    </row>
    <row r="745" spans="2:2" x14ac:dyDescent="0.45">
      <c r="B745">
        <v>237</v>
      </c>
    </row>
    <row r="746" spans="2:2" x14ac:dyDescent="0.45">
      <c r="B746">
        <v>548</v>
      </c>
    </row>
    <row r="747" spans="2:2" x14ac:dyDescent="0.45">
      <c r="B747">
        <v>591</v>
      </c>
    </row>
    <row r="748" spans="2:2" x14ac:dyDescent="0.45">
      <c r="B748">
        <v>333</v>
      </c>
    </row>
    <row r="749" spans="2:2" x14ac:dyDescent="0.45">
      <c r="B749">
        <v>172</v>
      </c>
    </row>
    <row r="750" spans="2:2" x14ac:dyDescent="0.45">
      <c r="B750">
        <v>26</v>
      </c>
    </row>
    <row r="751" spans="2:2" x14ac:dyDescent="0.45">
      <c r="B751">
        <v>7</v>
      </c>
    </row>
    <row r="752" spans="2:2" x14ac:dyDescent="0.45">
      <c r="B752">
        <v>1</v>
      </c>
    </row>
    <row r="753" spans="2:2" x14ac:dyDescent="0.45">
      <c r="B753">
        <v>7</v>
      </c>
    </row>
    <row r="754" spans="2:2" x14ac:dyDescent="0.45">
      <c r="B754">
        <v>43</v>
      </c>
    </row>
    <row r="755" spans="2:2" x14ac:dyDescent="0.45">
      <c r="B755">
        <v>226</v>
      </c>
    </row>
    <row r="756" spans="2:2" x14ac:dyDescent="0.45">
      <c r="B756">
        <v>512</v>
      </c>
    </row>
    <row r="757" spans="2:2" x14ac:dyDescent="0.45">
      <c r="B757">
        <v>593</v>
      </c>
    </row>
    <row r="758" spans="2:2" x14ac:dyDescent="0.45">
      <c r="B758">
        <v>384</v>
      </c>
    </row>
    <row r="759" spans="2:2" x14ac:dyDescent="0.45">
      <c r="B759">
        <v>179</v>
      </c>
    </row>
    <row r="760" spans="2:2" x14ac:dyDescent="0.45">
      <c r="B760">
        <v>45</v>
      </c>
    </row>
    <row r="761" spans="2:2" x14ac:dyDescent="0.45">
      <c r="B761">
        <v>9</v>
      </c>
    </row>
    <row r="762" spans="2:2" x14ac:dyDescent="0.45">
      <c r="B762">
        <v>2</v>
      </c>
    </row>
    <row r="763" spans="2:2" x14ac:dyDescent="0.45">
      <c r="B763">
        <v>9</v>
      </c>
    </row>
    <row r="764" spans="2:2" x14ac:dyDescent="0.45">
      <c r="B764">
        <v>37</v>
      </c>
    </row>
    <row r="765" spans="2:2" x14ac:dyDescent="0.45">
      <c r="B765">
        <v>154</v>
      </c>
    </row>
    <row r="766" spans="2:2" x14ac:dyDescent="0.45">
      <c r="B766">
        <v>352</v>
      </c>
    </row>
    <row r="767" spans="2:2" x14ac:dyDescent="0.45">
      <c r="B767">
        <v>512</v>
      </c>
    </row>
    <row r="768" spans="2:2" x14ac:dyDescent="0.45">
      <c r="B768">
        <v>466</v>
      </c>
    </row>
    <row r="769" spans="2:2" x14ac:dyDescent="0.45">
      <c r="B769">
        <v>274</v>
      </c>
    </row>
    <row r="770" spans="2:2" x14ac:dyDescent="0.45">
      <c r="B770">
        <v>159</v>
      </c>
    </row>
    <row r="771" spans="2:2" x14ac:dyDescent="0.45">
      <c r="B771">
        <v>30</v>
      </c>
    </row>
    <row r="772" spans="2:2" x14ac:dyDescent="0.45">
      <c r="B772">
        <v>7</v>
      </c>
    </row>
    <row r="773" spans="2:2" x14ac:dyDescent="0.45">
      <c r="B773">
        <v>9</v>
      </c>
    </row>
    <row r="774" spans="2:2" x14ac:dyDescent="0.45">
      <c r="B774">
        <v>67</v>
      </c>
    </row>
    <row r="775" spans="2:2" x14ac:dyDescent="0.45">
      <c r="B775">
        <v>245</v>
      </c>
    </row>
    <row r="776" spans="2:2" x14ac:dyDescent="0.45">
      <c r="B776">
        <v>513</v>
      </c>
    </row>
    <row r="777" spans="2:2" x14ac:dyDescent="0.45">
      <c r="B777">
        <v>519</v>
      </c>
    </row>
    <row r="778" spans="2:2" x14ac:dyDescent="0.45">
      <c r="B778">
        <v>380</v>
      </c>
    </row>
    <row r="779" spans="2:2" x14ac:dyDescent="0.45">
      <c r="B779">
        <v>195</v>
      </c>
    </row>
    <row r="780" spans="2:2" x14ac:dyDescent="0.45">
      <c r="B780">
        <v>60</v>
      </c>
    </row>
    <row r="781" spans="2:2" x14ac:dyDescent="0.45">
      <c r="B781">
        <v>9</v>
      </c>
    </row>
    <row r="782" spans="2:2" x14ac:dyDescent="0.45">
      <c r="B782">
        <v>3</v>
      </c>
    </row>
    <row r="783" spans="2:2" x14ac:dyDescent="0.45">
      <c r="B783">
        <v>11</v>
      </c>
    </row>
    <row r="784" spans="2:2" x14ac:dyDescent="0.45">
      <c r="B784">
        <v>57</v>
      </c>
    </row>
    <row r="785" spans="2:2" x14ac:dyDescent="0.45">
      <c r="B785">
        <v>200</v>
      </c>
    </row>
    <row r="786" spans="2:2" x14ac:dyDescent="0.45">
      <c r="B786">
        <v>344</v>
      </c>
    </row>
    <row r="787" spans="2:2" x14ac:dyDescent="0.45">
      <c r="B787">
        <v>531</v>
      </c>
    </row>
    <row r="788" spans="2:2" x14ac:dyDescent="0.45">
      <c r="B788">
        <v>411</v>
      </c>
    </row>
    <row r="789" spans="2:2" x14ac:dyDescent="0.45">
      <c r="B789">
        <v>282</v>
      </c>
    </row>
    <row r="790" spans="2:2" x14ac:dyDescent="0.45">
      <c r="B790">
        <v>121</v>
      </c>
    </row>
    <row r="791" spans="2:2" x14ac:dyDescent="0.45">
      <c r="B791">
        <v>33</v>
      </c>
    </row>
    <row r="792" spans="2:2" x14ac:dyDescent="0.45">
      <c r="B792">
        <v>10</v>
      </c>
    </row>
    <row r="793" spans="2:2" x14ac:dyDescent="0.45">
      <c r="B793">
        <v>19</v>
      </c>
    </row>
    <row r="794" spans="2:2" x14ac:dyDescent="0.45">
      <c r="B794">
        <v>110</v>
      </c>
    </row>
    <row r="795" spans="2:2" x14ac:dyDescent="0.45">
      <c r="B795">
        <v>224</v>
      </c>
    </row>
    <row r="796" spans="2:2" x14ac:dyDescent="0.45">
      <c r="B796">
        <v>471</v>
      </c>
    </row>
    <row r="797" spans="2:2" x14ac:dyDescent="0.45">
      <c r="B797">
        <v>447</v>
      </c>
    </row>
    <row r="798" spans="2:2" x14ac:dyDescent="0.45">
      <c r="B798">
        <v>419</v>
      </c>
    </row>
    <row r="799" spans="2:2" x14ac:dyDescent="0.45">
      <c r="B799">
        <v>202</v>
      </c>
    </row>
    <row r="800" spans="2:2" x14ac:dyDescent="0.45">
      <c r="B800">
        <v>88</v>
      </c>
    </row>
    <row r="801" spans="2:2" x14ac:dyDescent="0.45">
      <c r="B801">
        <v>16</v>
      </c>
    </row>
    <row r="802" spans="2:2" x14ac:dyDescent="0.45">
      <c r="B802">
        <v>4</v>
      </c>
    </row>
    <row r="803" spans="2:2" x14ac:dyDescent="0.45">
      <c r="B803">
        <v>8</v>
      </c>
    </row>
    <row r="804" spans="2:2" x14ac:dyDescent="0.45">
      <c r="B804">
        <v>23</v>
      </c>
    </row>
    <row r="805" spans="2:2" x14ac:dyDescent="0.45">
      <c r="B805">
        <v>137</v>
      </c>
    </row>
    <row r="806" spans="2:2" x14ac:dyDescent="0.45">
      <c r="B806">
        <v>311</v>
      </c>
    </row>
    <row r="807" spans="2:2" x14ac:dyDescent="0.45">
      <c r="B807">
        <v>494</v>
      </c>
    </row>
    <row r="808" spans="2:2" x14ac:dyDescent="0.45">
      <c r="B808">
        <v>547</v>
      </c>
    </row>
    <row r="809" spans="2:2" x14ac:dyDescent="0.45">
      <c r="B809">
        <v>306</v>
      </c>
    </row>
    <row r="810" spans="2:2" x14ac:dyDescent="0.45">
      <c r="B810">
        <v>133</v>
      </c>
    </row>
    <row r="811" spans="2:2" x14ac:dyDescent="0.45">
      <c r="B811">
        <v>35</v>
      </c>
    </row>
    <row r="812" spans="2:2" x14ac:dyDescent="0.45">
      <c r="B812">
        <v>6</v>
      </c>
    </row>
    <row r="813" spans="2:2" x14ac:dyDescent="0.45">
      <c r="B813">
        <v>18</v>
      </c>
    </row>
    <row r="814" spans="2:2" x14ac:dyDescent="0.45">
      <c r="B814">
        <v>69</v>
      </c>
    </row>
    <row r="815" spans="2:2" x14ac:dyDescent="0.45">
      <c r="B815">
        <v>201</v>
      </c>
    </row>
    <row r="816" spans="2:2" x14ac:dyDescent="0.45">
      <c r="B816">
        <v>359</v>
      </c>
    </row>
    <row r="817" spans="2:2" x14ac:dyDescent="0.45">
      <c r="B817">
        <v>562</v>
      </c>
    </row>
    <row r="818" spans="2:2" x14ac:dyDescent="0.45">
      <c r="B818">
        <v>404</v>
      </c>
    </row>
    <row r="819" spans="2:2" x14ac:dyDescent="0.45">
      <c r="B819">
        <v>243</v>
      </c>
    </row>
    <row r="820" spans="2:2" x14ac:dyDescent="0.45">
      <c r="B820">
        <v>99</v>
      </c>
    </row>
    <row r="821" spans="2:2" x14ac:dyDescent="0.45">
      <c r="B821">
        <v>35</v>
      </c>
    </row>
    <row r="822" spans="2:2" x14ac:dyDescent="0.45">
      <c r="B822">
        <v>10</v>
      </c>
    </row>
    <row r="823" spans="2:2" x14ac:dyDescent="0.45">
      <c r="B823">
        <v>4</v>
      </c>
    </row>
    <row r="824" spans="2:2" x14ac:dyDescent="0.45">
      <c r="B824">
        <v>33</v>
      </c>
    </row>
    <row r="825" spans="2:2" x14ac:dyDescent="0.45">
      <c r="B825">
        <v>155</v>
      </c>
    </row>
    <row r="826" spans="2:2" x14ac:dyDescent="0.45">
      <c r="B826">
        <v>352</v>
      </c>
    </row>
    <row r="827" spans="2:2" x14ac:dyDescent="0.45">
      <c r="B827">
        <v>533</v>
      </c>
    </row>
    <row r="828" spans="2:2" x14ac:dyDescent="0.45">
      <c r="B828">
        <v>522</v>
      </c>
    </row>
    <row r="829" spans="2:2" x14ac:dyDescent="0.45">
      <c r="B829">
        <v>287</v>
      </c>
    </row>
    <row r="830" spans="2:2" x14ac:dyDescent="0.45">
      <c r="B830">
        <v>79</v>
      </c>
    </row>
    <row r="831" spans="2:2" x14ac:dyDescent="0.45">
      <c r="B831">
        <v>31</v>
      </c>
    </row>
    <row r="832" spans="2:2" x14ac:dyDescent="0.45">
      <c r="B832">
        <v>4</v>
      </c>
    </row>
    <row r="833" spans="2:2" x14ac:dyDescent="0.45">
      <c r="B833">
        <v>20</v>
      </c>
    </row>
    <row r="834" spans="2:2" x14ac:dyDescent="0.45">
      <c r="B834">
        <v>116</v>
      </c>
    </row>
    <row r="835" spans="2:2" x14ac:dyDescent="0.45">
      <c r="B835">
        <v>265</v>
      </c>
    </row>
    <row r="836" spans="2:2" x14ac:dyDescent="0.45">
      <c r="B836">
        <v>395</v>
      </c>
    </row>
    <row r="837" spans="2:2" x14ac:dyDescent="0.45">
      <c r="B837">
        <v>531</v>
      </c>
    </row>
    <row r="838" spans="2:2" x14ac:dyDescent="0.45">
      <c r="B838">
        <v>395</v>
      </c>
    </row>
    <row r="839" spans="2:2" x14ac:dyDescent="0.45">
      <c r="B839">
        <v>192</v>
      </c>
    </row>
    <row r="840" spans="2:2" x14ac:dyDescent="0.45">
      <c r="B840">
        <v>70</v>
      </c>
    </row>
    <row r="841" spans="2:2" x14ac:dyDescent="0.45">
      <c r="B841">
        <v>13</v>
      </c>
    </row>
    <row r="842" spans="2:2" x14ac:dyDescent="0.45">
      <c r="B842">
        <v>3</v>
      </c>
    </row>
    <row r="843" spans="2:2" x14ac:dyDescent="0.45">
      <c r="B843">
        <v>3</v>
      </c>
    </row>
    <row r="844" spans="2:2" x14ac:dyDescent="0.45">
      <c r="B844">
        <v>20</v>
      </c>
    </row>
    <row r="845" spans="2:2" x14ac:dyDescent="0.45">
      <c r="B845">
        <v>122</v>
      </c>
    </row>
    <row r="846" spans="2:2" x14ac:dyDescent="0.45">
      <c r="B846">
        <v>335</v>
      </c>
    </row>
    <row r="847" spans="2:2" x14ac:dyDescent="0.45">
      <c r="B847">
        <v>506</v>
      </c>
    </row>
    <row r="848" spans="2:2" x14ac:dyDescent="0.45">
      <c r="B848">
        <v>492</v>
      </c>
    </row>
    <row r="849" spans="2:2" x14ac:dyDescent="0.45">
      <c r="B849">
        <v>318</v>
      </c>
    </row>
    <row r="850" spans="2:2" x14ac:dyDescent="0.45">
      <c r="B850">
        <v>150</v>
      </c>
    </row>
    <row r="851" spans="2:2" x14ac:dyDescent="0.45">
      <c r="B851">
        <v>44</v>
      </c>
    </row>
    <row r="852" spans="2:2" x14ac:dyDescent="0.45">
      <c r="B852">
        <v>10</v>
      </c>
    </row>
    <row r="853" spans="2:2" x14ac:dyDescent="0.45">
      <c r="B853">
        <v>19</v>
      </c>
    </row>
    <row r="854" spans="2:2" x14ac:dyDescent="0.45">
      <c r="B854">
        <v>77</v>
      </c>
    </row>
    <row r="855" spans="2:2" x14ac:dyDescent="0.45">
      <c r="B855">
        <v>205</v>
      </c>
    </row>
    <row r="856" spans="2:2" x14ac:dyDescent="0.45">
      <c r="B856">
        <v>462</v>
      </c>
    </row>
    <row r="857" spans="2:2" x14ac:dyDescent="0.45">
      <c r="B857">
        <v>441</v>
      </c>
    </row>
    <row r="858" spans="2:2" x14ac:dyDescent="0.45">
      <c r="B858">
        <v>445</v>
      </c>
    </row>
    <row r="859" spans="2:2" x14ac:dyDescent="0.45">
      <c r="B859">
        <v>223</v>
      </c>
    </row>
    <row r="860" spans="2:2" x14ac:dyDescent="0.45">
      <c r="B860">
        <v>101</v>
      </c>
    </row>
    <row r="861" spans="2:2" x14ac:dyDescent="0.45">
      <c r="B861">
        <v>24</v>
      </c>
    </row>
    <row r="862" spans="2:2" x14ac:dyDescent="0.45">
      <c r="B862">
        <v>3</v>
      </c>
    </row>
    <row r="863" spans="2:2" x14ac:dyDescent="0.45">
      <c r="B863">
        <v>22</v>
      </c>
    </row>
    <row r="864" spans="2:2" x14ac:dyDescent="0.45">
      <c r="B864">
        <v>65</v>
      </c>
    </row>
    <row r="865" spans="2:2" x14ac:dyDescent="0.45">
      <c r="B865">
        <v>177</v>
      </c>
    </row>
    <row r="866" spans="2:2" x14ac:dyDescent="0.45">
      <c r="B866">
        <v>349</v>
      </c>
    </row>
    <row r="867" spans="2:2" x14ac:dyDescent="0.45">
      <c r="B867">
        <v>457</v>
      </c>
    </row>
    <row r="868" spans="2:2" x14ac:dyDescent="0.45">
      <c r="B868">
        <v>408</v>
      </c>
    </row>
    <row r="869" spans="2:2" x14ac:dyDescent="0.45">
      <c r="B869">
        <v>318</v>
      </c>
    </row>
    <row r="870" spans="2:2" x14ac:dyDescent="0.45">
      <c r="B870">
        <v>151</v>
      </c>
    </row>
    <row r="871" spans="2:2" x14ac:dyDescent="0.45">
      <c r="B871">
        <v>42</v>
      </c>
    </row>
    <row r="872" spans="2:2" x14ac:dyDescent="0.45">
      <c r="B872">
        <v>11</v>
      </c>
    </row>
    <row r="873" spans="2:2" x14ac:dyDescent="0.45">
      <c r="B873">
        <v>17</v>
      </c>
    </row>
    <row r="874" spans="2:2" x14ac:dyDescent="0.45">
      <c r="B874">
        <v>73</v>
      </c>
    </row>
    <row r="875" spans="2:2" x14ac:dyDescent="0.45">
      <c r="B875">
        <v>212</v>
      </c>
    </row>
    <row r="876" spans="2:2" x14ac:dyDescent="0.45">
      <c r="B876">
        <v>431</v>
      </c>
    </row>
    <row r="877" spans="2:2" x14ac:dyDescent="0.45">
      <c r="B877">
        <v>522</v>
      </c>
    </row>
    <row r="878" spans="2:2" x14ac:dyDescent="0.45">
      <c r="B878">
        <v>376</v>
      </c>
    </row>
    <row r="879" spans="2:2" x14ac:dyDescent="0.45">
      <c r="B879">
        <v>248</v>
      </c>
    </row>
    <row r="880" spans="2:2" x14ac:dyDescent="0.45">
      <c r="B880">
        <v>83</v>
      </c>
    </row>
    <row r="881" spans="2:2" x14ac:dyDescent="0.45">
      <c r="B881">
        <v>31</v>
      </c>
    </row>
    <row r="882" spans="2:2" x14ac:dyDescent="0.45">
      <c r="B882">
        <v>7</v>
      </c>
    </row>
    <row r="883" spans="2:2" x14ac:dyDescent="0.45">
      <c r="B883">
        <v>10</v>
      </c>
    </row>
    <row r="884" spans="2:2" x14ac:dyDescent="0.45">
      <c r="B884">
        <v>64</v>
      </c>
    </row>
    <row r="885" spans="2:2" x14ac:dyDescent="0.45">
      <c r="B885">
        <v>215</v>
      </c>
    </row>
    <row r="886" spans="2:2" x14ac:dyDescent="0.45">
      <c r="B886">
        <v>424</v>
      </c>
    </row>
    <row r="887" spans="2:2" x14ac:dyDescent="0.45">
      <c r="B887">
        <v>590</v>
      </c>
    </row>
    <row r="888" spans="2:2" x14ac:dyDescent="0.45">
      <c r="B888">
        <v>408</v>
      </c>
    </row>
    <row r="889" spans="2:2" x14ac:dyDescent="0.45">
      <c r="B889">
        <v>197</v>
      </c>
    </row>
    <row r="890" spans="2:2" x14ac:dyDescent="0.45">
      <c r="B890">
        <v>72</v>
      </c>
    </row>
    <row r="891" spans="2:2" x14ac:dyDescent="0.45">
      <c r="B891">
        <v>17</v>
      </c>
    </row>
    <row r="892" spans="2:2" x14ac:dyDescent="0.45">
      <c r="B892">
        <v>3</v>
      </c>
    </row>
    <row r="893" spans="2:2" x14ac:dyDescent="0.45">
      <c r="B893">
        <v>4</v>
      </c>
    </row>
    <row r="894" spans="2:2" x14ac:dyDescent="0.45">
      <c r="B894">
        <v>42</v>
      </c>
    </row>
    <row r="895" spans="2:2" x14ac:dyDescent="0.45">
      <c r="B895">
        <v>151</v>
      </c>
    </row>
    <row r="896" spans="2:2" x14ac:dyDescent="0.45">
      <c r="B896">
        <v>306</v>
      </c>
    </row>
    <row r="897" spans="2:2" x14ac:dyDescent="0.45">
      <c r="B897">
        <v>481</v>
      </c>
    </row>
    <row r="898" spans="2:2" x14ac:dyDescent="0.45">
      <c r="B898">
        <v>511</v>
      </c>
    </row>
    <row r="899" spans="2:2" x14ac:dyDescent="0.45">
      <c r="B899">
        <v>319</v>
      </c>
    </row>
    <row r="900" spans="2:2" x14ac:dyDescent="0.45">
      <c r="B900">
        <v>129</v>
      </c>
    </row>
    <row r="901" spans="2:2" x14ac:dyDescent="0.45">
      <c r="B901">
        <v>47</v>
      </c>
    </row>
    <row r="902" spans="2:2" x14ac:dyDescent="0.45">
      <c r="B902">
        <v>10</v>
      </c>
    </row>
    <row r="903" spans="2:2" x14ac:dyDescent="0.45">
      <c r="B903">
        <v>1</v>
      </c>
    </row>
    <row r="904" spans="2:2" x14ac:dyDescent="0.45">
      <c r="B904">
        <v>9</v>
      </c>
    </row>
    <row r="905" spans="2:2" x14ac:dyDescent="0.45">
      <c r="B905">
        <v>55</v>
      </c>
    </row>
    <row r="906" spans="2:2" x14ac:dyDescent="0.45">
      <c r="B906">
        <v>225</v>
      </c>
    </row>
    <row r="907" spans="2:2" x14ac:dyDescent="0.45">
      <c r="B907">
        <v>485</v>
      </c>
    </row>
    <row r="908" spans="2:2" x14ac:dyDescent="0.45">
      <c r="B908">
        <v>572</v>
      </c>
    </row>
    <row r="909" spans="2:2" x14ac:dyDescent="0.45">
      <c r="B909">
        <v>411</v>
      </c>
    </row>
    <row r="910" spans="2:2" x14ac:dyDescent="0.45">
      <c r="B910">
        <v>187</v>
      </c>
    </row>
    <row r="911" spans="2:2" x14ac:dyDescent="0.45">
      <c r="B911">
        <v>47</v>
      </c>
    </row>
    <row r="912" spans="2:2" x14ac:dyDescent="0.45">
      <c r="B912">
        <v>8</v>
      </c>
    </row>
    <row r="913" spans="2:2" x14ac:dyDescent="0.45">
      <c r="B913">
        <v>3</v>
      </c>
    </row>
    <row r="914" spans="2:2" x14ac:dyDescent="0.45">
      <c r="B914">
        <v>23</v>
      </c>
    </row>
    <row r="915" spans="2:2" x14ac:dyDescent="0.45">
      <c r="B915">
        <v>101</v>
      </c>
    </row>
    <row r="916" spans="2:2" x14ac:dyDescent="0.45">
      <c r="B916">
        <v>383</v>
      </c>
    </row>
    <row r="917" spans="2:2" x14ac:dyDescent="0.45">
      <c r="B917">
        <v>562</v>
      </c>
    </row>
    <row r="918" spans="2:2" x14ac:dyDescent="0.45">
      <c r="B918">
        <v>517</v>
      </c>
    </row>
    <row r="919" spans="2:2" x14ac:dyDescent="0.45">
      <c r="B919">
        <v>302</v>
      </c>
    </row>
    <row r="920" spans="2:2" x14ac:dyDescent="0.45">
      <c r="B920">
        <v>93</v>
      </c>
    </row>
    <row r="921" spans="2:2" x14ac:dyDescent="0.45">
      <c r="B921">
        <v>12</v>
      </c>
    </row>
    <row r="922" spans="2:2" x14ac:dyDescent="0.45">
      <c r="B922">
        <v>4</v>
      </c>
    </row>
    <row r="923" spans="2:2" x14ac:dyDescent="0.45">
      <c r="B923">
        <v>13</v>
      </c>
    </row>
    <row r="924" spans="2:2" x14ac:dyDescent="0.45">
      <c r="B924">
        <v>82</v>
      </c>
    </row>
    <row r="925" spans="2:2" x14ac:dyDescent="0.45">
      <c r="B925">
        <v>176</v>
      </c>
    </row>
    <row r="926" spans="2:2" x14ac:dyDescent="0.45">
      <c r="B926">
        <v>417</v>
      </c>
    </row>
    <row r="927" spans="2:2" x14ac:dyDescent="0.45">
      <c r="B927">
        <v>475</v>
      </c>
    </row>
    <row r="928" spans="2:2" x14ac:dyDescent="0.45">
      <c r="B928">
        <v>445</v>
      </c>
    </row>
    <row r="929" spans="2:2" x14ac:dyDescent="0.45">
      <c r="B929">
        <v>248</v>
      </c>
    </row>
    <row r="930" spans="2:2" x14ac:dyDescent="0.45">
      <c r="B930">
        <v>116</v>
      </c>
    </row>
    <row r="931" spans="2:2" x14ac:dyDescent="0.45">
      <c r="B931">
        <v>18</v>
      </c>
    </row>
    <row r="932" spans="2:2" x14ac:dyDescent="0.45">
      <c r="B932">
        <v>10</v>
      </c>
    </row>
    <row r="933" spans="2:2" x14ac:dyDescent="0.45">
      <c r="B933">
        <v>26</v>
      </c>
    </row>
    <row r="934" spans="2:2" x14ac:dyDescent="0.45">
      <c r="B934">
        <v>107</v>
      </c>
    </row>
    <row r="935" spans="2:2" x14ac:dyDescent="0.45">
      <c r="B935">
        <v>241</v>
      </c>
    </row>
    <row r="936" spans="2:2" x14ac:dyDescent="0.45">
      <c r="B936">
        <v>536</v>
      </c>
    </row>
    <row r="937" spans="2:2" x14ac:dyDescent="0.45">
      <c r="B937">
        <v>486</v>
      </c>
    </row>
    <row r="938" spans="2:2" x14ac:dyDescent="0.45">
      <c r="B938">
        <v>388</v>
      </c>
    </row>
    <row r="939" spans="2:2" x14ac:dyDescent="0.45">
      <c r="B939">
        <v>154</v>
      </c>
    </row>
    <row r="940" spans="2:2" x14ac:dyDescent="0.45">
      <c r="B940">
        <v>53</v>
      </c>
    </row>
    <row r="941" spans="2:2" x14ac:dyDescent="0.45">
      <c r="B941">
        <v>8</v>
      </c>
    </row>
    <row r="942" spans="2:2" x14ac:dyDescent="0.45">
      <c r="B942">
        <v>1</v>
      </c>
    </row>
    <row r="943" spans="2:2" x14ac:dyDescent="0.45">
      <c r="B943">
        <v>20</v>
      </c>
    </row>
    <row r="944" spans="2:2" x14ac:dyDescent="0.45">
      <c r="B944">
        <v>81</v>
      </c>
    </row>
    <row r="945" spans="2:2" x14ac:dyDescent="0.45">
      <c r="B945">
        <v>208</v>
      </c>
    </row>
    <row r="946" spans="2:2" x14ac:dyDescent="0.45">
      <c r="B946">
        <v>442</v>
      </c>
    </row>
    <row r="947" spans="2:2" x14ac:dyDescent="0.45">
      <c r="B947">
        <v>614</v>
      </c>
    </row>
    <row r="948" spans="2:2" x14ac:dyDescent="0.45">
      <c r="B948">
        <v>378</v>
      </c>
    </row>
    <row r="949" spans="2:2" x14ac:dyDescent="0.45">
      <c r="B949">
        <v>180</v>
      </c>
    </row>
    <row r="950" spans="2:2" x14ac:dyDescent="0.45">
      <c r="B950">
        <v>63</v>
      </c>
    </row>
    <row r="951" spans="2:2" x14ac:dyDescent="0.45">
      <c r="B951">
        <v>10</v>
      </c>
    </row>
    <row r="952" spans="2:2" x14ac:dyDescent="0.45">
      <c r="B952">
        <v>4</v>
      </c>
    </row>
    <row r="953" spans="2:2" x14ac:dyDescent="0.45">
      <c r="B953">
        <v>4</v>
      </c>
    </row>
    <row r="954" spans="2:2" x14ac:dyDescent="0.45">
      <c r="B954">
        <v>68</v>
      </c>
    </row>
    <row r="955" spans="2:2" x14ac:dyDescent="0.45">
      <c r="B955">
        <v>322</v>
      </c>
    </row>
    <row r="956" spans="2:2" x14ac:dyDescent="0.45">
      <c r="B956">
        <v>649</v>
      </c>
    </row>
    <row r="957" spans="2:2" x14ac:dyDescent="0.45">
      <c r="B957">
        <v>588</v>
      </c>
    </row>
    <row r="958" spans="2:2" x14ac:dyDescent="0.45">
      <c r="B958">
        <v>292</v>
      </c>
    </row>
    <row r="959" spans="2:2" x14ac:dyDescent="0.45">
      <c r="B959">
        <v>67</v>
      </c>
    </row>
    <row r="960" spans="2:2" x14ac:dyDescent="0.45">
      <c r="B960">
        <v>8</v>
      </c>
    </row>
    <row r="961" spans="2:2" x14ac:dyDescent="0.45">
      <c r="B961">
        <v>1</v>
      </c>
    </row>
    <row r="962" spans="2:2" x14ac:dyDescent="0.45">
      <c r="B962">
        <v>1</v>
      </c>
    </row>
    <row r="963" spans="2:2" x14ac:dyDescent="0.45">
      <c r="B963">
        <v>3</v>
      </c>
    </row>
    <row r="964" spans="2:2" x14ac:dyDescent="0.45">
      <c r="B964">
        <v>70</v>
      </c>
    </row>
    <row r="965" spans="2:2" x14ac:dyDescent="0.45">
      <c r="B965">
        <v>210</v>
      </c>
    </row>
    <row r="966" spans="2:2" x14ac:dyDescent="0.45">
      <c r="B966">
        <v>425</v>
      </c>
    </row>
    <row r="967" spans="2:2" x14ac:dyDescent="0.45">
      <c r="B967">
        <v>459</v>
      </c>
    </row>
    <row r="968" spans="2:2" x14ac:dyDescent="0.45">
      <c r="B968">
        <v>415</v>
      </c>
    </row>
    <row r="969" spans="2:2" x14ac:dyDescent="0.45">
      <c r="B969">
        <v>278</v>
      </c>
    </row>
    <row r="970" spans="2:2" x14ac:dyDescent="0.45">
      <c r="B970">
        <v>110</v>
      </c>
    </row>
    <row r="971" spans="2:2" x14ac:dyDescent="0.45">
      <c r="B971">
        <v>25</v>
      </c>
    </row>
    <row r="972" spans="2:2" x14ac:dyDescent="0.45">
      <c r="B972">
        <v>5</v>
      </c>
    </row>
    <row r="973" spans="2:2" x14ac:dyDescent="0.45">
      <c r="B973">
        <v>8</v>
      </c>
    </row>
    <row r="974" spans="2:2" x14ac:dyDescent="0.45">
      <c r="B974">
        <v>38</v>
      </c>
    </row>
    <row r="975" spans="2:2" x14ac:dyDescent="0.45">
      <c r="B975">
        <v>174</v>
      </c>
    </row>
    <row r="976" spans="2:2" x14ac:dyDescent="0.45">
      <c r="B976">
        <v>376</v>
      </c>
    </row>
    <row r="977" spans="2:2" x14ac:dyDescent="0.45">
      <c r="B977">
        <v>508</v>
      </c>
    </row>
    <row r="978" spans="2:2" x14ac:dyDescent="0.45">
      <c r="B978">
        <v>476</v>
      </c>
    </row>
    <row r="979" spans="2:2" x14ac:dyDescent="0.45">
      <c r="B979">
        <v>258</v>
      </c>
    </row>
    <row r="980" spans="2:2" x14ac:dyDescent="0.45">
      <c r="B980">
        <v>119</v>
      </c>
    </row>
    <row r="981" spans="2:2" x14ac:dyDescent="0.45">
      <c r="B981">
        <v>34</v>
      </c>
    </row>
    <row r="982" spans="2:2" x14ac:dyDescent="0.45">
      <c r="B982">
        <v>9</v>
      </c>
    </row>
    <row r="983" spans="2:2" x14ac:dyDescent="0.45">
      <c r="B983">
        <v>2</v>
      </c>
    </row>
    <row r="984" spans="2:2" x14ac:dyDescent="0.45">
      <c r="B984">
        <v>20</v>
      </c>
    </row>
    <row r="985" spans="2:2" x14ac:dyDescent="0.45">
      <c r="B985">
        <v>74</v>
      </c>
    </row>
    <row r="986" spans="2:2" x14ac:dyDescent="0.45">
      <c r="B986">
        <v>265</v>
      </c>
    </row>
    <row r="987" spans="2:2" x14ac:dyDescent="0.45">
      <c r="B987">
        <v>489</v>
      </c>
    </row>
    <row r="988" spans="2:2" x14ac:dyDescent="0.45">
      <c r="B988">
        <v>580</v>
      </c>
    </row>
    <row r="989" spans="2:2" x14ac:dyDescent="0.45">
      <c r="B989">
        <v>372</v>
      </c>
    </row>
    <row r="990" spans="2:2" x14ac:dyDescent="0.45">
      <c r="B990">
        <v>158</v>
      </c>
    </row>
    <row r="991" spans="2:2" x14ac:dyDescent="0.45">
      <c r="B991">
        <v>33</v>
      </c>
    </row>
    <row r="992" spans="2:2" x14ac:dyDescent="0.45">
      <c r="B992">
        <v>7</v>
      </c>
    </row>
    <row r="993" spans="2:2" x14ac:dyDescent="0.45">
      <c r="B993">
        <v>15</v>
      </c>
    </row>
    <row r="994" spans="2:2" x14ac:dyDescent="0.45">
      <c r="B994">
        <v>61</v>
      </c>
    </row>
    <row r="995" spans="2:2" x14ac:dyDescent="0.45">
      <c r="B995">
        <v>216</v>
      </c>
    </row>
    <row r="996" spans="2:2" x14ac:dyDescent="0.45">
      <c r="B996">
        <v>495</v>
      </c>
    </row>
    <row r="997" spans="2:2" x14ac:dyDescent="0.45">
      <c r="B997">
        <v>585</v>
      </c>
    </row>
    <row r="998" spans="2:2" x14ac:dyDescent="0.45">
      <c r="B998">
        <v>383</v>
      </c>
    </row>
    <row r="999" spans="2:2" x14ac:dyDescent="0.45">
      <c r="B999">
        <v>180</v>
      </c>
    </row>
    <row r="1000" spans="2:2" x14ac:dyDescent="0.45">
      <c r="B1000">
        <v>54</v>
      </c>
    </row>
    <row r="1001" spans="2:2" x14ac:dyDescent="0.45">
      <c r="B1001">
        <v>10</v>
      </c>
    </row>
    <row r="1002" spans="2:2" x14ac:dyDescent="0.45">
      <c r="B1002">
        <v>1</v>
      </c>
    </row>
    <row r="1003" spans="2:2" x14ac:dyDescent="0.45">
      <c r="B1003">
        <v>10</v>
      </c>
    </row>
    <row r="1004" spans="2:2" x14ac:dyDescent="0.45">
      <c r="B1004">
        <v>62</v>
      </c>
    </row>
    <row r="1005" spans="2:2" x14ac:dyDescent="0.45">
      <c r="B1005">
        <v>181</v>
      </c>
    </row>
    <row r="1006" spans="2:2" x14ac:dyDescent="0.45">
      <c r="B1006">
        <v>439</v>
      </c>
    </row>
    <row r="1007" spans="2:2" x14ac:dyDescent="0.45">
      <c r="B1007">
        <v>494</v>
      </c>
    </row>
    <row r="1008" spans="2:2" x14ac:dyDescent="0.45">
      <c r="B1008">
        <v>475</v>
      </c>
    </row>
    <row r="1009" spans="2:2" x14ac:dyDescent="0.45">
      <c r="B1009">
        <v>244</v>
      </c>
    </row>
    <row r="1010" spans="2:2" x14ac:dyDescent="0.45">
      <c r="B1010">
        <v>73</v>
      </c>
    </row>
    <row r="1011" spans="2:2" x14ac:dyDescent="0.45">
      <c r="B1011">
        <v>16</v>
      </c>
    </row>
    <row r="1012" spans="2:2" x14ac:dyDescent="0.45">
      <c r="B1012">
        <v>6</v>
      </c>
    </row>
    <row r="1013" spans="2:2" x14ac:dyDescent="0.45">
      <c r="B1013">
        <v>12</v>
      </c>
    </row>
    <row r="1014" spans="2:2" x14ac:dyDescent="0.45">
      <c r="B1014">
        <v>54</v>
      </c>
    </row>
    <row r="1015" spans="2:2" x14ac:dyDescent="0.45">
      <c r="B1015">
        <v>168</v>
      </c>
    </row>
    <row r="1016" spans="2:2" x14ac:dyDescent="0.45">
      <c r="B1016">
        <v>329</v>
      </c>
    </row>
    <row r="1017" spans="2:2" x14ac:dyDescent="0.45">
      <c r="B1017">
        <v>508</v>
      </c>
    </row>
    <row r="1018" spans="2:2" x14ac:dyDescent="0.45">
      <c r="B1018">
        <v>507</v>
      </c>
    </row>
    <row r="1019" spans="2:2" x14ac:dyDescent="0.45">
      <c r="B1019">
        <v>276</v>
      </c>
    </row>
    <row r="1020" spans="2:2" x14ac:dyDescent="0.45">
      <c r="B1020">
        <v>103</v>
      </c>
    </row>
    <row r="1021" spans="2:2" x14ac:dyDescent="0.45">
      <c r="B1021">
        <v>38</v>
      </c>
    </row>
    <row r="1022" spans="2:2" x14ac:dyDescent="0.45">
      <c r="B1022">
        <v>5</v>
      </c>
    </row>
    <row r="1023" spans="2:2" x14ac:dyDescent="0.45">
      <c r="B1023">
        <v>37</v>
      </c>
    </row>
    <row r="1024" spans="2:2" x14ac:dyDescent="0.45">
      <c r="B1024">
        <v>195</v>
      </c>
    </row>
    <row r="1025" spans="2:2" x14ac:dyDescent="0.45">
      <c r="B1025">
        <v>280</v>
      </c>
    </row>
    <row r="1026" spans="2:2" x14ac:dyDescent="0.45">
      <c r="B1026">
        <v>276</v>
      </c>
    </row>
    <row r="1027" spans="2:2" x14ac:dyDescent="0.45">
      <c r="B1027">
        <v>297</v>
      </c>
    </row>
    <row r="1028" spans="2:2" x14ac:dyDescent="0.45">
      <c r="B1028">
        <v>263</v>
      </c>
    </row>
    <row r="1029" spans="2:2" x14ac:dyDescent="0.45">
      <c r="B1029">
        <v>257</v>
      </c>
    </row>
    <row r="1030" spans="2:2" x14ac:dyDescent="0.45">
      <c r="B1030">
        <v>255</v>
      </c>
    </row>
    <row r="1031" spans="2:2" x14ac:dyDescent="0.45">
      <c r="B1031">
        <v>120</v>
      </c>
    </row>
    <row r="1032" spans="2:2" x14ac:dyDescent="0.45">
      <c r="B1032">
        <v>20</v>
      </c>
    </row>
    <row r="1033" spans="2:2" x14ac:dyDescent="0.45">
      <c r="B1033">
        <v>8</v>
      </c>
    </row>
    <row r="1034" spans="2:2" x14ac:dyDescent="0.45">
      <c r="B1034">
        <v>164</v>
      </c>
    </row>
    <row r="1035" spans="2:2" x14ac:dyDescent="0.45">
      <c r="B1035">
        <v>249</v>
      </c>
    </row>
    <row r="1036" spans="2:2" x14ac:dyDescent="0.45">
      <c r="B1036">
        <v>227</v>
      </c>
    </row>
    <row r="1037" spans="2:2" x14ac:dyDescent="0.45">
      <c r="B1037">
        <v>235</v>
      </c>
    </row>
    <row r="1038" spans="2:2" x14ac:dyDescent="0.45">
      <c r="B1038">
        <v>255</v>
      </c>
    </row>
    <row r="1039" spans="2:2" x14ac:dyDescent="0.45">
      <c r="B1039">
        <v>250</v>
      </c>
    </row>
    <row r="1040" spans="2:2" x14ac:dyDescent="0.45">
      <c r="B1040">
        <v>264</v>
      </c>
    </row>
    <row r="1041" spans="2:2" x14ac:dyDescent="0.45">
      <c r="B1041">
        <v>261</v>
      </c>
    </row>
    <row r="1042" spans="2:2" x14ac:dyDescent="0.45">
      <c r="B1042">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054A2894-E6A5-4DFB-8881-3641DE831A61}">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216</vt:i4>
      </vt:variant>
    </vt:vector>
  </HeadingPairs>
  <TitlesOfParts>
    <vt:vector size="223" baseType="lpstr">
      <vt:lpstr>About</vt:lpstr>
      <vt:lpstr>Inputs</vt:lpstr>
      <vt:lpstr>Months</vt:lpstr>
      <vt:lpstr>Results</vt:lpstr>
      <vt:lpstr>ModelRiskDSN</vt:lpstr>
      <vt:lpstr>ModelRiskSYS1</vt:lpstr>
      <vt:lpstr>ModelRiskCharts</vt:lpstr>
      <vt:lpstr>Breakthrough</vt:lpstr>
      <vt:lpstr>Checks</vt:lpstr>
      <vt:lpstr>Earliest</vt:lpstr>
      <vt:lpstr>ExpDeaths</vt:lpstr>
      <vt:lpstr>ExpWithout</vt:lpstr>
      <vt:lpstr>Increase</vt:lpstr>
      <vt:lpstr>Latest</vt:lpstr>
      <vt:lpstr>Prevented</vt:lpstr>
      <vt:lpstr>Results!Print_Area</vt:lpstr>
      <vt:lpstr>Inputs!Print_Titles</vt:lpstr>
      <vt:lpstr>Results!Print_Titles</vt:lpstr>
      <vt:lpstr>Rate0</vt:lpstr>
      <vt:lpstr>Saved</vt:lpstr>
      <vt:lpstr>SavedPerMonth</vt:lpstr>
      <vt:lpstr>TotWith</vt:lpstr>
      <vt:lpstr>TotWithout</vt:lpstr>
      <vt:lpstr>With_1</vt:lpstr>
      <vt:lpstr>With_10</vt:lpstr>
      <vt:lpstr>With_100</vt:lpstr>
      <vt:lpstr>With_11</vt:lpstr>
      <vt:lpstr>With_12</vt:lpstr>
      <vt:lpstr>With_13</vt:lpstr>
      <vt:lpstr>With_14</vt:lpstr>
      <vt:lpstr>With_15</vt:lpstr>
      <vt:lpstr>With_16</vt:lpstr>
      <vt:lpstr>With_17</vt:lpstr>
      <vt:lpstr>With_18</vt:lpstr>
      <vt:lpstr>With_19</vt:lpstr>
      <vt:lpstr>With_2</vt:lpstr>
      <vt:lpstr>With_20</vt:lpstr>
      <vt:lpstr>With_21</vt:lpstr>
      <vt:lpstr>With_22</vt:lpstr>
      <vt:lpstr>With_23</vt:lpstr>
      <vt:lpstr>With_24</vt:lpstr>
      <vt:lpstr>With_25</vt:lpstr>
      <vt:lpstr>With_26</vt:lpstr>
      <vt:lpstr>With_27</vt:lpstr>
      <vt:lpstr>With_28</vt:lpstr>
      <vt:lpstr>With_29</vt:lpstr>
      <vt:lpstr>With_3</vt:lpstr>
      <vt:lpstr>With_30</vt:lpstr>
      <vt:lpstr>With_31</vt:lpstr>
      <vt:lpstr>With_32</vt:lpstr>
      <vt:lpstr>With_33</vt:lpstr>
      <vt:lpstr>With_34</vt:lpstr>
      <vt:lpstr>With_35</vt:lpstr>
      <vt:lpstr>With_36</vt:lpstr>
      <vt:lpstr>With_37</vt:lpstr>
      <vt:lpstr>With_38</vt:lpstr>
      <vt:lpstr>With_39</vt:lpstr>
      <vt:lpstr>With_4</vt:lpstr>
      <vt:lpstr>With_40</vt:lpstr>
      <vt:lpstr>With_41</vt:lpstr>
      <vt:lpstr>With_42</vt:lpstr>
      <vt:lpstr>With_43</vt:lpstr>
      <vt:lpstr>With_44</vt:lpstr>
      <vt:lpstr>With_45</vt:lpstr>
      <vt:lpstr>With_46</vt:lpstr>
      <vt:lpstr>With_47</vt:lpstr>
      <vt:lpstr>With_48</vt:lpstr>
      <vt:lpstr>With_49</vt:lpstr>
      <vt:lpstr>With_5</vt:lpstr>
      <vt:lpstr>With_50</vt:lpstr>
      <vt:lpstr>With_51</vt:lpstr>
      <vt:lpstr>With_52</vt:lpstr>
      <vt:lpstr>With_53</vt:lpstr>
      <vt:lpstr>With_54</vt:lpstr>
      <vt:lpstr>With_55</vt:lpstr>
      <vt:lpstr>With_56</vt:lpstr>
      <vt:lpstr>With_57</vt:lpstr>
      <vt:lpstr>With_58</vt:lpstr>
      <vt:lpstr>With_59</vt:lpstr>
      <vt:lpstr>With_6</vt:lpstr>
      <vt:lpstr>With_60</vt:lpstr>
      <vt:lpstr>With_61</vt:lpstr>
      <vt:lpstr>With_62</vt:lpstr>
      <vt:lpstr>With_63</vt:lpstr>
      <vt:lpstr>With_64</vt:lpstr>
      <vt:lpstr>With_65</vt:lpstr>
      <vt:lpstr>With_66</vt:lpstr>
      <vt:lpstr>With_67</vt:lpstr>
      <vt:lpstr>With_68</vt:lpstr>
      <vt:lpstr>With_69</vt:lpstr>
      <vt:lpstr>With_7</vt:lpstr>
      <vt:lpstr>With_70</vt:lpstr>
      <vt:lpstr>With_71</vt:lpstr>
      <vt:lpstr>With_72</vt:lpstr>
      <vt:lpstr>With_73</vt:lpstr>
      <vt:lpstr>With_74</vt:lpstr>
      <vt:lpstr>With_75</vt:lpstr>
      <vt:lpstr>With_76</vt:lpstr>
      <vt:lpstr>With_77</vt:lpstr>
      <vt:lpstr>With_78</vt:lpstr>
      <vt:lpstr>With_79</vt:lpstr>
      <vt:lpstr>With_8</vt:lpstr>
      <vt:lpstr>With_80</vt:lpstr>
      <vt:lpstr>With_81</vt:lpstr>
      <vt:lpstr>With_82</vt:lpstr>
      <vt:lpstr>With_83</vt:lpstr>
      <vt:lpstr>With_84</vt:lpstr>
      <vt:lpstr>With_85</vt:lpstr>
      <vt:lpstr>With_86</vt:lpstr>
      <vt:lpstr>With_87</vt:lpstr>
      <vt:lpstr>With_88</vt:lpstr>
      <vt:lpstr>With_89</vt:lpstr>
      <vt:lpstr>With_9</vt:lpstr>
      <vt:lpstr>With_90</vt:lpstr>
      <vt:lpstr>With_91</vt:lpstr>
      <vt:lpstr>With_92</vt:lpstr>
      <vt:lpstr>With_93</vt:lpstr>
      <vt:lpstr>With_94</vt:lpstr>
      <vt:lpstr>With_95</vt:lpstr>
      <vt:lpstr>With_96</vt:lpstr>
      <vt:lpstr>With_97</vt:lpstr>
      <vt:lpstr>With_98</vt:lpstr>
      <vt:lpstr>With_99</vt:lpstr>
      <vt:lpstr>Without_1</vt:lpstr>
      <vt:lpstr>Without_10</vt:lpstr>
      <vt:lpstr>Without_100</vt:lpstr>
      <vt:lpstr>Without_11</vt:lpstr>
      <vt:lpstr>Without_12</vt:lpstr>
      <vt:lpstr>Without_13</vt:lpstr>
      <vt:lpstr>Without_14</vt:lpstr>
      <vt:lpstr>Without_15</vt:lpstr>
      <vt:lpstr>Without_16</vt:lpstr>
      <vt:lpstr>Without_17</vt:lpstr>
      <vt:lpstr>Without_18</vt:lpstr>
      <vt:lpstr>Without_19</vt:lpstr>
      <vt:lpstr>Without_2</vt:lpstr>
      <vt:lpstr>Without_20</vt:lpstr>
      <vt:lpstr>Without_21</vt:lpstr>
      <vt:lpstr>Without_22</vt:lpstr>
      <vt:lpstr>Without_23</vt:lpstr>
      <vt:lpstr>Without_24</vt:lpstr>
      <vt:lpstr>Without_25</vt:lpstr>
      <vt:lpstr>Without_26</vt:lpstr>
      <vt:lpstr>Without_27</vt:lpstr>
      <vt:lpstr>Without_28</vt:lpstr>
      <vt:lpstr>Without_29</vt:lpstr>
      <vt:lpstr>Without_3</vt:lpstr>
      <vt:lpstr>Without_30</vt:lpstr>
      <vt:lpstr>Without_31</vt:lpstr>
      <vt:lpstr>Without_32</vt:lpstr>
      <vt:lpstr>Without_33</vt:lpstr>
      <vt:lpstr>Without_34</vt:lpstr>
      <vt:lpstr>Without_35</vt:lpstr>
      <vt:lpstr>Without_36</vt:lpstr>
      <vt:lpstr>Without_37</vt:lpstr>
      <vt:lpstr>Without_38</vt:lpstr>
      <vt:lpstr>Without_39</vt:lpstr>
      <vt:lpstr>Without_4</vt:lpstr>
      <vt:lpstr>Without_40</vt:lpstr>
      <vt:lpstr>Without_41</vt:lpstr>
      <vt:lpstr>Without_42</vt:lpstr>
      <vt:lpstr>Without_43</vt:lpstr>
      <vt:lpstr>Without_44</vt:lpstr>
      <vt:lpstr>Without_45</vt:lpstr>
      <vt:lpstr>Without_46</vt:lpstr>
      <vt:lpstr>Without_47</vt:lpstr>
      <vt:lpstr>Without_48</vt:lpstr>
      <vt:lpstr>Without_49</vt:lpstr>
      <vt:lpstr>Without_5</vt:lpstr>
      <vt:lpstr>Without_50</vt:lpstr>
      <vt:lpstr>Without_51</vt:lpstr>
      <vt:lpstr>Without_52</vt:lpstr>
      <vt:lpstr>Without_53</vt:lpstr>
      <vt:lpstr>Without_54</vt:lpstr>
      <vt:lpstr>Without_55</vt:lpstr>
      <vt:lpstr>Without_56</vt:lpstr>
      <vt:lpstr>Without_57</vt:lpstr>
      <vt:lpstr>Without_58</vt:lpstr>
      <vt:lpstr>Without_59</vt:lpstr>
      <vt:lpstr>Without_6</vt:lpstr>
      <vt:lpstr>Without_60</vt:lpstr>
      <vt:lpstr>Without_61</vt:lpstr>
      <vt:lpstr>Without_62</vt:lpstr>
      <vt:lpstr>Without_63</vt:lpstr>
      <vt:lpstr>Without_64</vt:lpstr>
      <vt:lpstr>Without_65</vt:lpstr>
      <vt:lpstr>Without_66</vt:lpstr>
      <vt:lpstr>Without_67</vt:lpstr>
      <vt:lpstr>Without_68</vt:lpstr>
      <vt:lpstr>Without_69</vt:lpstr>
      <vt:lpstr>Without_7</vt:lpstr>
      <vt:lpstr>Without_70</vt:lpstr>
      <vt:lpstr>Without_71</vt:lpstr>
      <vt:lpstr>Without_72</vt:lpstr>
      <vt:lpstr>Without_73</vt:lpstr>
      <vt:lpstr>Without_74</vt:lpstr>
      <vt:lpstr>Without_75</vt:lpstr>
      <vt:lpstr>Without_76</vt:lpstr>
      <vt:lpstr>Without_77</vt:lpstr>
      <vt:lpstr>Without_78</vt:lpstr>
      <vt:lpstr>Without_79</vt:lpstr>
      <vt:lpstr>Without_8</vt:lpstr>
      <vt:lpstr>Without_80</vt:lpstr>
      <vt:lpstr>Without_81</vt:lpstr>
      <vt:lpstr>Without_82</vt:lpstr>
      <vt:lpstr>Without_83</vt:lpstr>
      <vt:lpstr>Without_84</vt:lpstr>
      <vt:lpstr>Without_85</vt:lpstr>
      <vt:lpstr>Without_86</vt:lpstr>
      <vt:lpstr>Without_87</vt:lpstr>
      <vt:lpstr>Without_88</vt:lpstr>
      <vt:lpstr>Without_89</vt:lpstr>
      <vt:lpstr>Without_9</vt:lpstr>
      <vt:lpstr>Without_90</vt:lpstr>
      <vt:lpstr>Without_91</vt:lpstr>
      <vt:lpstr>Without_92</vt:lpstr>
      <vt:lpstr>Without_93</vt:lpstr>
      <vt:lpstr>Without_94</vt:lpstr>
      <vt:lpstr>Without_95</vt:lpstr>
      <vt:lpstr>Without_96</vt:lpstr>
      <vt:lpstr>Without_97</vt:lpstr>
      <vt:lpstr>Without_98</vt:lpstr>
      <vt:lpstr>Without_99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GU-11 A Step Change in the Event Rate (Projected Cures)</dc:title>
  <dc:subject>ModelRisk industry example library — General use</dc:subject>
  <dc:creator>Vose Software</dc:creator>
  <cp:keywords>ModelRisk; Monte Carlo; General use</cp:keywords>
  <dc:description>Monthly deaths with a trend and a cure that arrives in an uncertain month: lives saved and the value of an earlier cure.</dc:description>
  <cp:lastModifiedBy>Timour Koupeev</cp:lastModifiedBy>
  <cp:lastPrinted>2026-10-07T13:39:42Z</cp:lastPrinted>
  <dcterms:created xsi:type="dcterms:W3CDTF">2026-10-07T13:36:48Z</dcterms:created>
  <dcterms:modified xsi:type="dcterms:W3CDTF">2026-10-07T13:39:44Z</dcterms:modified>
</cp:coreProperties>
</file>