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3BA6D92B-B2B7-4130-8490-6A069B894827}"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History" sheetId="3" r:id="rId3"/>
    <sheet name="Forecast" sheetId="4" r:id="rId4"/>
    <sheet name="Results" sheetId="5" r:id="rId5"/>
    <sheet name="ModelRiskDSN" sheetId="6" state="hidden" r:id="rId6"/>
    <sheet name="ModelRiskSYS1" sheetId="7" state="hidden" r:id="rId7"/>
    <sheet name="ModelRiskCharts" sheetId="8" state="hidden" r:id="rId8"/>
  </sheets>
  <definedNames>
    <definedName name="B0u">Forecast!$D$26</definedName>
    <definedName name="B1u">Forecast!$D$27</definedName>
    <definedName name="Beta0">Inputs!$D$11</definedName>
    <definedName name="Beta1">Inputs!$D$12</definedName>
    <definedName name="Ch_a">Forecast!$D$18</definedName>
    <definedName name="Ch_b">Forecast!$D$19</definedName>
    <definedName name="Ch_c">Forecast!$D$20</definedName>
    <definedName name="Checks">Forecast!$D$39:$D$40</definedName>
    <definedName name="Corr01">Forecast!$D$17</definedName>
    <definedName name="Cov_b01">Forecast!$D$13</definedName>
    <definedName name="Det_I">Forecast!$D$11</definedName>
    <definedName name="Draw_1">Forecast!$D$24</definedName>
    <definedName name="Draw_2">Forecast!$D$25</definedName>
    <definedName name="Fit_1">Forecast!$D$33</definedName>
    <definedName name="Fit_2">Forecast!$D$34</definedName>
    <definedName name="Fit_3">Forecast!$D$35</definedName>
    <definedName name="Inf_00">Forecast!$D$8</definedName>
    <definedName name="Inf_01">Forecast!$D$9</definedName>
    <definedName name="Inf_11">Forecast!$D$10</definedName>
    <definedName name="LogL">History!$E$26</definedName>
    <definedName name="PolyaH">Inputs!$D$13</definedName>
    <definedName name="_xlnm.Print_Area" localSheetId="4">Results!$A$1:$R$33</definedName>
    <definedName name="_xlnm.Print_Titles" localSheetId="1">Inputs!$1:$4</definedName>
    <definedName name="_xlnm.Print_Titles" localSheetId="4">Results!$1:$4</definedName>
    <definedName name="Score0">History!$G$26</definedName>
    <definedName name="Score1">History!$H$26</definedName>
    <definedName name="SE_b0">Forecast!$D$15</definedName>
    <definedName name="SE_b1">Forecast!$D$16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nc_1">Forecast!$F$33</definedName>
    <definedName name="Unc_2">Forecast!$F$34</definedName>
    <definedName name="Unc_3">Forecast!$F$35</definedName>
    <definedName name="Var_b0">Forecast!$D$12</definedName>
    <definedName name="Var_b1">Forecast!$D$14</definedName>
    <definedName name="Wt">History!$F$10:$F$25</definedName>
    <definedName name="Yr">History!$B$10:$B$25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3" l="1" a="1"/>
  <c r="E12" i="3" s="1"/>
  <c r="C88" i="5"/>
  <c r="C87" i="5"/>
  <c r="C86" i="5"/>
  <c r="C85" i="5"/>
  <c r="C84" i="5"/>
  <c r="C83" i="5"/>
  <c r="C82" i="5"/>
  <c r="C81" i="5"/>
  <c r="C80" i="5"/>
  <c r="C79" i="5"/>
  <c r="C78" i="5"/>
  <c r="C77" i="5"/>
  <c r="C76" i="5"/>
  <c r="C75" i="5"/>
  <c r="C74" i="5"/>
  <c r="C73" i="5"/>
  <c r="C72" i="5"/>
  <c r="C71" i="5"/>
  <c r="C70" i="5"/>
  <c r="C69" i="5"/>
  <c r="C68" i="5"/>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D25" i="5"/>
  <c r="D40" i="4"/>
  <c r="C35" i="4"/>
  <c r="C34" i="4"/>
  <c r="C33" i="4"/>
  <c r="D66" i="3"/>
  <c r="D65" i="3"/>
  <c r="D64" i="3"/>
  <c r="D63" i="3"/>
  <c r="C63" i="3"/>
  <c r="D62" i="3"/>
  <c r="C62" i="3"/>
  <c r="D61" i="3"/>
  <c r="C61" i="3"/>
  <c r="D60" i="3"/>
  <c r="C60" i="3"/>
  <c r="D59" i="3"/>
  <c r="C59" i="3"/>
  <c r="D58" i="3"/>
  <c r="C58" i="3"/>
  <c r="D57" i="3"/>
  <c r="C57" i="3"/>
  <c r="D56" i="3"/>
  <c r="C56" i="3"/>
  <c r="D55" i="3"/>
  <c r="C55" i="3"/>
  <c r="D54" i="3"/>
  <c r="C54" i="3"/>
  <c r="D53" i="3"/>
  <c r="C53" i="3"/>
  <c r="D52" i="3"/>
  <c r="C52" i="3"/>
  <c r="D51" i="3"/>
  <c r="C51" i="3"/>
  <c r="D50" i="3"/>
  <c r="C50" i="3"/>
  <c r="D49" i="3"/>
  <c r="C49" i="3"/>
  <c r="D48" i="3"/>
  <c r="C48" i="3"/>
  <c r="D25" i="3"/>
  <c r="E25" i="3" s="1" a="1"/>
  <c r="E25" i="3" s="1"/>
  <c r="G25" i="3"/>
  <c r="H25" i="3"/>
  <c r="D24" i="3"/>
  <c r="G24" i="3" s="1"/>
  <c r="H24" i="3" s="1"/>
  <c r="D23" i="3"/>
  <c r="F23" i="3"/>
  <c r="D22" i="3"/>
  <c r="F22" i="3" s="1"/>
  <c r="E22" i="3" a="1"/>
  <c r="E22" i="3"/>
  <c r="D21" i="3"/>
  <c r="F21" i="3" s="1"/>
  <c r="G21" i="3"/>
  <c r="H21" i="3" s="1"/>
  <c r="D20" i="3"/>
  <c r="G20" i="3"/>
  <c r="H20" i="3"/>
  <c r="D19" i="3"/>
  <c r="G19" i="3" s="1"/>
  <c r="H19" i="3" s="1"/>
  <c r="E19" i="3" a="1"/>
  <c r="E19" i="3" s="1"/>
  <c r="D18" i="3"/>
  <c r="F18" i="3" s="1"/>
  <c r="D17" i="3"/>
  <c r="E17" i="3" s="1" a="1"/>
  <c r="E17" i="3" s="1"/>
  <c r="G17" i="3"/>
  <c r="H17" i="3" s="1"/>
  <c r="D16" i="3"/>
  <c r="G16" i="3" s="1"/>
  <c r="H16" i="3" s="1"/>
  <c r="D15" i="3"/>
  <c r="G15" i="3" s="1"/>
  <c r="H15" i="3" s="1"/>
  <c r="F15" i="3"/>
  <c r="D14" i="3"/>
  <c r="G14" i="3" s="1"/>
  <c r="H14" i="3" s="1"/>
  <c r="E14" i="3" a="1"/>
  <c r="E14" i="3"/>
  <c r="D13" i="3"/>
  <c r="G13" i="3" s="1"/>
  <c r="H13" i="3" s="1"/>
  <c r="D12" i="3"/>
  <c r="D11" i="3"/>
  <c r="G11" i="3" s="1"/>
  <c r="H11" i="3" s="1"/>
  <c r="E11" i="3" a="1"/>
  <c r="E11" i="3"/>
  <c r="D10" i="3"/>
  <c r="E10" i="3" s="1" a="1"/>
  <c r="E10" i="3" s="1"/>
  <c r="G10" i="3"/>
  <c r="H10" i="3" s="1"/>
  <c r="E21" i="3" a="1"/>
  <c r="E21" i="3" s="1"/>
  <c r="E23" i="3" a="1"/>
  <c r="E23" i="3" s="1"/>
  <c r="E15" i="3" a="1"/>
  <c r="E15" i="3" s="1"/>
  <c r="E20" i="3" a="1"/>
  <c r="E20" i="3"/>
  <c r="G23" i="3"/>
  <c r="H23" i="3"/>
  <c r="F20" i="3"/>
  <c r="F12" i="3"/>
  <c r="G12" i="3"/>
  <c r="H12" i="3"/>
  <c r="F11" i="3"/>
  <c r="F14" i="3"/>
  <c r="D33" i="4" a="1"/>
  <c r="D25" i="4" a="1"/>
  <c r="D24" i="4" a="1"/>
  <c r="D35" i="4" a="1"/>
  <c r="D34" i="4" a="1"/>
  <c r="F17" i="3" l="1"/>
  <c r="F24" i="3"/>
  <c r="F25" i="3"/>
  <c r="G22" i="3"/>
  <c r="H22" i="3" s="1"/>
  <c r="E24" i="3" a="1"/>
  <c r="E24" i="3" s="1"/>
  <c r="D34" i="4"/>
  <c r="D35" i="4"/>
  <c r="D24" i="4"/>
  <c r="D25" i="4"/>
  <c r="D33" i="4"/>
  <c r="H26" i="3"/>
  <c r="F16" i="3"/>
  <c r="E18" i="3" a="1"/>
  <c r="E18" i="3" s="1"/>
  <c r="F13" i="3"/>
  <c r="E13" i="3" a="1"/>
  <c r="E13" i="3" s="1"/>
  <c r="F19" i="3"/>
  <c r="F10" i="3"/>
  <c r="G18" i="3"/>
  <c r="H18" i="3" s="1"/>
  <c r="G26" i="3"/>
  <c r="D39" i="4" s="1"/>
  <c r="B7" i="5" s="1"/>
  <c r="E16" i="3" a="1"/>
  <c r="E16" i="3" s="1"/>
  <c r="E14" i="5" a="1"/>
  <c r="D14" i="5" a="1"/>
  <c r="G14" i="5" a="1"/>
  <c r="F14" i="5" a="1"/>
  <c r="D86" i="5" a="1"/>
  <c r="D70" i="5" a="1"/>
  <c r="D54" i="5" a="1"/>
  <c r="D19" i="5" a="1"/>
  <c r="D71" i="5" a="1"/>
  <c r="D69" i="5" a="1"/>
  <c r="D77" i="5" a="1"/>
  <c r="D68" i="5" a="1"/>
  <c r="D52" i="5" a="1"/>
  <c r="D16" i="5" a="1"/>
  <c r="D55" i="5" a="1"/>
  <c r="D53" i="5" a="1"/>
  <c r="D39" i="5" a="1"/>
  <c r="D87" i="5" a="1"/>
  <c r="D84" i="5" a="1"/>
  <c r="D82" i="5" a="1"/>
  <c r="D66" i="5" a="1"/>
  <c r="D50" i="5" a="1"/>
  <c r="D65" i="5" a="1"/>
  <c r="D63" i="5" a="1"/>
  <c r="D81" i="5" a="1"/>
  <c r="D80" i="5" a="1"/>
  <c r="D64" i="5" a="1"/>
  <c r="D48" i="5" a="1"/>
  <c r="D73" i="5" a="1"/>
  <c r="D49" i="5" a="1"/>
  <c r="D79" i="5" a="1"/>
  <c r="D47" i="5" a="1"/>
  <c r="D67" i="5" a="1"/>
  <c r="D78" i="5" a="1"/>
  <c r="D62" i="5" a="1"/>
  <c r="D46" i="5" a="1"/>
  <c r="D57" i="5" a="1"/>
  <c r="D83" i="5" a="1"/>
  <c r="E16" i="5" a="1"/>
  <c r="D76" i="5" a="1"/>
  <c r="D60" i="5" a="1"/>
  <c r="D44" i="5" a="1"/>
  <c r="D41" i="5" a="1"/>
  <c r="D75" i="5" a="1"/>
  <c r="D51" i="5" a="1"/>
  <c r="G16" i="5" a="1"/>
  <c r="D74" i="5" a="1"/>
  <c r="D58" i="5" a="1"/>
  <c r="D42" i="5" a="1"/>
  <c r="D61" i="5" a="1"/>
  <c r="D59" i="5" a="1"/>
  <c r="F16" i="5" a="1"/>
  <c r="D88" i="5" a="1"/>
  <c r="D72" i="5" a="1"/>
  <c r="D56" i="5" a="1"/>
  <c r="D40" i="5" a="1"/>
  <c r="D85" i="5" a="1"/>
  <c r="D43" i="5" a="1"/>
  <c r="D45" i="5" a="1"/>
  <c r="E12" i="5" a="1"/>
  <c r="G12" i="5" a="1"/>
  <c r="D12" i="5" a="1"/>
  <c r="F12" i="5" a="1"/>
  <c r="F26" i="3" l="1"/>
  <c r="D10" i="4"/>
  <c r="D9" i="4"/>
  <c r="D8" i="4"/>
  <c r="E26" i="3"/>
  <c r="D28" i="5" s="1"/>
  <c r="F12" i="5"/>
  <c r="D12" i="5"/>
  <c r="G12" i="5"/>
  <c r="E12" i="5"/>
  <c r="D45" i="5"/>
  <c r="D43" i="5"/>
  <c r="D85" i="5"/>
  <c r="D40" i="5"/>
  <c r="D56" i="5"/>
  <c r="D72" i="5"/>
  <c r="D88" i="5"/>
  <c r="F16" i="5"/>
  <c r="D59" i="5"/>
  <c r="D61" i="5"/>
  <c r="D42" i="5"/>
  <c r="D58" i="5"/>
  <c r="D74" i="5"/>
  <c r="G16" i="5"/>
  <c r="D51" i="5"/>
  <c r="D75" i="5"/>
  <c r="D41" i="5"/>
  <c r="D44" i="5"/>
  <c r="D60" i="5"/>
  <c r="D76" i="5"/>
  <c r="E16" i="5"/>
  <c r="D83" i="5"/>
  <c r="D57" i="5"/>
  <c r="D46" i="5"/>
  <c r="D62" i="5"/>
  <c r="D78" i="5"/>
  <c r="D67" i="5"/>
  <c r="D47" i="5"/>
  <c r="D79" i="5"/>
  <c r="D49" i="5"/>
  <c r="D73" i="5"/>
  <c r="D48" i="5"/>
  <c r="D64" i="5"/>
  <c r="D80" i="5"/>
  <c r="D81" i="5"/>
  <c r="D63" i="5"/>
  <c r="D65" i="5"/>
  <c r="D50" i="5"/>
  <c r="D66" i="5"/>
  <c r="D82" i="5"/>
  <c r="D84" i="5"/>
  <c r="D87" i="5"/>
  <c r="D39" i="5"/>
  <c r="D53" i="5"/>
  <c r="D55" i="5"/>
  <c r="D16" i="5"/>
  <c r="D52" i="5"/>
  <c r="D68" i="5"/>
  <c r="D77" i="5"/>
  <c r="D69" i="5"/>
  <c r="D71" i="5"/>
  <c r="D19" i="5"/>
  <c r="D54" i="5"/>
  <c r="D70" i="5"/>
  <c r="D86" i="5"/>
  <c r="F14" i="5"/>
  <c r="G14" i="5"/>
  <c r="D14" i="5"/>
  <c r="E14" i="5"/>
  <c r="D11" i="4" l="1"/>
  <c r="D13" i="4" s="1"/>
  <c r="D14" i="4"/>
  <c r="D16" i="4" s="1"/>
  <c r="D12" i="4"/>
  <c r="D15" i="4" l="1"/>
  <c r="D18" i="4"/>
  <c r="D26" i="5"/>
  <c r="D27" i="5"/>
  <c r="D17" i="4"/>
  <c r="D26" i="4" l="1"/>
  <c r="D19" i="4"/>
  <c r="D20" i="4" s="1"/>
  <c r="D27" i="4" s="1"/>
  <c r="E34" i="4" l="1"/>
  <c r="E35" i="4"/>
  <c r="E33" i="4"/>
  <c r="F34" i="4" a="1"/>
  <c r="F35" i="4" a="1"/>
  <c r="F33" i="4" a="1"/>
  <c r="F34" i="4" l="1"/>
  <c r="F35" i="4"/>
  <c r="F33" i="4"/>
  <c r="G15" i="5" a="1"/>
  <c r="E15" i="5" a="1"/>
  <c r="F15" i="5" a="1"/>
  <c r="D15" i="5" a="1"/>
  <c r="E65" i="5" a="1"/>
  <c r="E41" i="5" a="1"/>
  <c r="E81" i="5" a="1"/>
  <c r="D20" i="5" a="1"/>
  <c r="E54" i="5" a="1"/>
  <c r="E70" i="5" a="1"/>
  <c r="E86" i="5" a="1"/>
  <c r="E60" i="5" a="1"/>
  <c r="E69" i="5" a="1"/>
  <c r="E47" i="5" a="1"/>
  <c r="E87" i="5" a="1"/>
  <c r="E40" i="5" a="1"/>
  <c r="E56" i="5" a="1"/>
  <c r="E72" i="5" a="1"/>
  <c r="E88" i="5" a="1"/>
  <c r="F17" i="5" a="1"/>
  <c r="E73" i="5" a="1"/>
  <c r="E53" i="5" a="1"/>
  <c r="E39" i="5" a="1"/>
  <c r="E42" i="5" a="1"/>
  <c r="E58" i="5" a="1"/>
  <c r="E74" i="5" a="1"/>
  <c r="G17" i="5" a="1"/>
  <c r="E77" i="5" a="1"/>
  <c r="E57" i="5" a="1"/>
  <c r="E45" i="5" a="1"/>
  <c r="E44" i="5" a="1"/>
  <c r="E43" i="5" a="1"/>
  <c r="E83" i="5" a="1"/>
  <c r="E63" i="5" a="1"/>
  <c r="E51" i="5" a="1"/>
  <c r="E46" i="5" a="1"/>
  <c r="E62" i="5" a="1"/>
  <c r="E78" i="5" a="1"/>
  <c r="E49" i="5" a="1"/>
  <c r="E85" i="5" a="1"/>
  <c r="E67" i="5" a="1"/>
  <c r="E59" i="5" a="1"/>
  <c r="E48" i="5" a="1"/>
  <c r="E64" i="5" a="1"/>
  <c r="E80" i="5" a="1"/>
  <c r="E55" i="5" a="1"/>
  <c r="D17" i="5" a="1"/>
  <c r="E71" i="5" a="1"/>
  <c r="E79" i="5" a="1"/>
  <c r="E50" i="5" a="1"/>
  <c r="E66" i="5" a="1"/>
  <c r="E82" i="5" a="1"/>
  <c r="E61" i="5" a="1"/>
  <c r="B6" i="5" a="1"/>
  <c r="E75" i="5" a="1"/>
  <c r="E17" i="5" a="1"/>
  <c r="E52" i="5" a="1"/>
  <c r="E68" i="5" a="1"/>
  <c r="E84" i="5" a="1"/>
  <c r="E76" i="5" a="1"/>
  <c r="F13" i="5" a="1"/>
  <c r="G13" i="5" a="1"/>
  <c r="E13" i="5" a="1"/>
  <c r="D13" i="5" a="1"/>
  <c r="D15" i="5" l="1"/>
  <c r="F15" i="5"/>
  <c r="E15" i="5"/>
  <c r="G15" i="5"/>
  <c r="E76" i="5"/>
  <c r="E84" i="5"/>
  <c r="E68" i="5"/>
  <c r="E52" i="5"/>
  <c r="E17" i="5"/>
  <c r="E75" i="5"/>
  <c r="B6" i="5"/>
  <c r="E61" i="5"/>
  <c r="E82" i="5"/>
  <c r="E66" i="5"/>
  <c r="E50" i="5"/>
  <c r="E79" i="5"/>
  <c r="E71" i="5"/>
  <c r="D17" i="5"/>
  <c r="E55" i="5"/>
  <c r="E80" i="5"/>
  <c r="E64" i="5"/>
  <c r="E48" i="5"/>
  <c r="E59" i="5"/>
  <c r="E67" i="5"/>
  <c r="E85" i="5"/>
  <c r="E49" i="5"/>
  <c r="E78" i="5"/>
  <c r="E62" i="5"/>
  <c r="E46" i="5"/>
  <c r="E51" i="5"/>
  <c r="E63" i="5"/>
  <c r="E83" i="5"/>
  <c r="E43" i="5"/>
  <c r="E44" i="5"/>
  <c r="E45" i="5"/>
  <c r="E57" i="5"/>
  <c r="E77" i="5"/>
  <c r="G17" i="5"/>
  <c r="E74" i="5"/>
  <c r="E58" i="5"/>
  <c r="E42" i="5"/>
  <c r="E39" i="5"/>
  <c r="E53" i="5"/>
  <c r="E73" i="5"/>
  <c r="F17" i="5"/>
  <c r="E88" i="5"/>
  <c r="E72" i="5"/>
  <c r="E56" i="5"/>
  <c r="E40" i="5"/>
  <c r="E87" i="5"/>
  <c r="E47" i="5"/>
  <c r="E69" i="5"/>
  <c r="E60" i="5"/>
  <c r="E86" i="5"/>
  <c r="E70" i="5"/>
  <c r="E54" i="5"/>
  <c r="D20" i="5"/>
  <c r="E81" i="5"/>
  <c r="E41" i="5"/>
  <c r="E65" i="5"/>
  <c r="D13" i="5"/>
  <c r="E13" i="5"/>
  <c r="G13" i="5"/>
  <c r="F13"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<sst xmlns="http://schemas.openxmlformats.org/spreadsheetml/2006/main" count="253" uniqueCount="220">
  <si>
    <t>Pólya Regression Fitted to Accident Data</t>
  </si>
  <si>
    <t>ModelRisk example  ·  General use  ·  GU-10</t>
  </si>
  <si>
    <t>How many sports accidents next year, and the two after?  A Pólya regression fitted to sixteen years of data.</t>
  </si>
  <si>
    <t>Next:  Inputs  ▸</t>
  </si>
  <si>
    <t>Model card</t>
  </si>
  <si>
    <t>Industry</t>
  </si>
  <si>
    <t>General use</t>
  </si>
  <si>
    <t>Difficulty</t>
  </si>
  <si>
    <t>★★★☆☆   A count regression fitted by maximum likelihood, projected with and without the uncertainty in its parameters.</t>
  </si>
  <si>
    <t>Business question</t>
  </si>
  <si>
    <t>Annual sports accidents over the last sixteen years have grown, but very unevenly. A Pólya (negative binomial) regression with an exponential trend fits them. What does it project for the next three years, and how much wider is the forecast once the uncertainty in the fitted trend is included?</t>
  </si>
  <si>
    <t>Who it is for</t>
  </si>
  <si>
    <t>Analysts forecasting overdispersed counts from a short history: claims, accidents, incidents, demand.</t>
  </si>
  <si>
    <t>Main outputs</t>
  </si>
  <si>
    <t>Accidents in each of the next three years at P10 / median / P90, with the fitted parameters and with their uncertainty · the fitted trend and its standard error · a check that the stored fit is the maximum.</t>
  </si>
  <si>
    <t>ModelRisk techniques</t>
  </si>
  <si>
    <t>A Pólya regression: VosePolya(1/h, λh) with λ = exp(β0 + β1·year) · the log-likelihood from VosePolyaProb10 · a score check that the stored parameters maximise it · the parameters' covariance from the information matrix and correlated normal draws for the projection with parameter uncertainty.</t>
  </si>
  <si>
    <t>File</t>
  </si>
  <si>
    <t>GU-10 Polya regression fitted to accident data  ·  Version 1.0  ·  October 2026  ·  re-issues the example Polya Regression  ·  built with ModelRisk 10</t>
  </si>
  <si>
    <t>The business question</t>
  </si>
  <si>
    <t>A health authority records sports accidents each year. Over sixteen years they have grown from about 650 to about 1,400, with large swings from year to year: far more than a Poisson process would give. A Pólya regression describes them: the expected number grows exponentially, exp(β0 + β1·year), and each year's count scatters around it with extra variation h. The parameters were fitted by maximising the log-likelihood with Excel's Solver. The authority wants the next three years. Projecting with the fitted parameters alone treats the trend as known; with sixteen noisy years it is not, and the model shows how much that widens the forecast.</t>
  </si>
  <si>
    <t>How the model works</t>
  </si>
  <si>
    <t>Four sheets after this one, read from left to right. Each one feeds the next.</t>
  </si>
  <si>
    <t>1  Inputs</t>
  </si>
  <si>
    <t>β0 (the log of the expected accidents in year 0), β1 (the growth per year on the log scale) and h, as fitted by Solver.</t>
  </si>
  <si>
    <t>2  History</t>
  </si>
  <si>
    <t>Expected accidents each year, each year's log-likelihood (VosePolyaProb10), and their total, which the fitted parameters maximise. The score (the slope of the log-likelihood) is about 0 at the maximum, which a check confirms.</t>
  </si>
  <si>
    <t>3  Forecast</t>
  </si>
  <si>
    <t>The information matrix, built from the History sheet's weights, gives the covariance of β0 and β1. With fixed parameters each year is VosePolya(1/h, λh). With parameter uncertainty, β0 and β1 are first drawn from their correlated normal distribution (two VoseNormal draws through a Cholesky factor), and λ follows from them.</t>
  </si>
  <si>
    <t>4  Results</t>
  </si>
  <si>
    <t>Percentiles of each year's accidents both ways, the fitted trend with its standard error, and the chart of the history and the fit.</t>
  </si>
  <si>
    <t>How to use it</t>
  </si>
  <si>
    <t>Step 1</t>
  </si>
  <si>
    <t>Replace the history on the History sheet with your own counts.</t>
  </si>
  <si>
    <t>Step 2</t>
  </si>
  <si>
    <t>Refit: run Solver to maximise the log-likelihood by changing β0, β1 and h on the Inputs sheet. The score check reads OK at the maximum.</t>
  </si>
  <si>
    <t>Step 3</t>
  </si>
  <si>
    <t>Run a simulation from the ModelRisk ribbon (10,000 samples with a fixed seed are set).</t>
  </si>
  <si>
    <t>Step 4</t>
  </si>
  <si>
    <t>Use the forecast with parameter uncertainty: the history is short.</t>
  </si>
  <si>
    <t>Workbook map</t>
  </si>
  <si>
    <t>Inputs</t>
  </si>
  <si>
    <t>The fitted parameters.</t>
  </si>
  <si>
    <t>History</t>
  </si>
  <si>
    <t>Data, fit, log-likelihood, score and chart.</t>
  </si>
  <si>
    <t>Forecast</t>
  </si>
  <si>
    <t>Covariance, parameter draws and the next three years both ways; outputs and checks.</t>
  </si>
  <si>
    <t>Results</t>
  </si>
  <si>
    <t>Forecasts, trend and notes.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</si>
  <si>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</si>
  <si>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</si>
  <si>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</si>
  <si>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</si>
  <si>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</si>
  <si>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</si>
  <si>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</si>
  <si>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</si>
  <si>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</si>
  <si>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</si>
  <si>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</si>
  <si>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</si>
  <si>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Year</t>
  </si>
  <si>
    <t>Year 0 is the last year of data; years 1 to 3 are forecast.</t>
  </si>
  <si>
    <t>Pólya</t>
  </si>
  <si>
    <t>VosePolya(α, β) is a Poisson with a Gamma(α, β) mean: here α = 1/h and β = λh, so the mean is λ and the variance λ + hλ².</t>
  </si>
  <si>
    <t>Log scale</t>
  </si>
  <si>
    <t>β1 = 0.029 means about 3% growth a year: exp(β1) − 1.</t>
  </si>
  <si>
    <t>Key assumptions and limitations</t>
  </si>
  <si>
    <t>Trend</t>
  </si>
  <si>
    <t>Exponential in the year, as in the original example.</t>
  </si>
  <si>
    <t>Independence</t>
  </si>
  <si>
    <t>Years are independent given the trend.</t>
  </si>
  <si>
    <t>Parameter uncertainty</t>
  </si>
  <si>
    <t>Approximately normal around the fit (large-sample theory); h is taken as known, which affects only the year-to-year scatter.</t>
  </si>
  <si>
    <t>Data</t>
  </si>
  <si>
    <t>The accident counts and the fitted parameters are those of ModelRisk's earlier Polya Regression example.</t>
  </si>
  <si>
    <t>ModelRisk functions used</t>
  </si>
  <si>
    <t>VosePolyaProb10</t>
  </si>
  <si>
    <t>Each year's log-likelihood (base 10), converted to natural logs.</t>
  </si>
  <si>
    <t>VosePolya</t>
  </si>
  <si>
    <t>Each forecast year's accidents: a Gamma-mixed Poisson with mean λ.</t>
  </si>
  <si>
    <t>VoseNormal</t>
  </si>
  <si>
    <t>The two standard normal draws behind the uncertain β0 and β1.</t>
  </si>
  <si>
    <t>VoseOutput</t>
  </si>
  <si>
    <t>The forecast years as output ranges, both ways.</t>
  </si>
  <si>
    <t>VoseSimPercentile, VoseSimStdev</t>
  </si>
  <si>
    <t>Statistics of the simulation.</t>
  </si>
  <si>
    <t>Further reading</t>
  </si>
  <si>
    <t>Count regression</t>
  </si>
  <si>
    <t>Cameron, A. C. and Trivedi, P. K. (2013). Regression Analysis of Count Data, 2nd edition. Cambridge University Press: the negative binomial (NB2) model.</t>
  </si>
  <si>
    <t>Fitting with uncertainty</t>
  </si>
  <si>
    <t>Vose, D. (2008). Risk Analysis: A Quantitative Guide, 3rd edition. Wiley: parameter uncertainty in fitted models.</t>
  </si>
  <si>
    <t>© 2026 Vose Software   ·   www.vosesoftware.com   ·   An illustrative example: the figures are invented for teaching and do not describe a real company, project or asset.</t>
  </si>
  <si>
    <t>INPUTS   ·   The fitted parameters. The history is on the History sheet. Refit with Solver after changing the data.</t>
  </si>
  <si>
    <t>◂  About</t>
  </si>
  <si>
    <t>Next:  History  ▸</t>
  </si>
  <si>
    <t>How to read this sheet:  yellow cells are inputs.</t>
  </si>
  <si>
    <t>1   The fitted Pólya regression</t>
  </si>
  <si>
    <t>Maximum-likelihood estimates, fitted with Excel's Solver on the History sheet.</t>
  </si>
  <si>
    <t>Assumption</t>
  </si>
  <si>
    <t>Unit</t>
  </si>
  <si>
    <t>Value in model</t>
  </si>
  <si>
    <t>Uncertainty</t>
  </si>
  <si>
    <t>Basis / source (illustrative)</t>
  </si>
  <si>
    <t>β0  (log of the expected accidents in year 0)</t>
  </si>
  <si>
    <t>Fixed</t>
  </si>
  <si>
    <t>exp(β0) ≈ 1,215 accidents.</t>
  </si>
  <si>
    <t>β1  (growth per year, log scale)</t>
  </si>
  <si>
    <t>About 3% a year.</t>
  </si>
  <si>
    <t>h  (extra variation)</t>
  </si>
  <si>
    <t>A year's variance = λ + hλ².</t>
  </si>
  <si>
    <t>HISTORY   ·   Sixteen years of accidents, the fitted regression, its log-likelihood and score.</t>
  </si>
  <si>
    <t>◂  Inputs</t>
  </si>
  <si>
    <t>Next:  Forecast  ▸</t>
  </si>
  <si>
    <t>1   Accidents and the fit</t>
  </si>
  <si>
    <t>Yellow cells are inputs: the recorded accidents.</t>
  </si>
  <si>
    <t>Accidents</t>
  </si>
  <si>
    <t>Expected  λ</t>
  </si>
  <si>
    <t>Log-likelihood</t>
  </si>
  <si>
    <t>Weight</t>
  </si>
  <si>
    <t>Score β0</t>
  </si>
  <si>
    <t>Score β1</t>
  </si>
  <si>
    <t>How it is calculated</t>
  </si>
  <si>
    <t>ln</t>
  </si>
  <si>
    <t>λ / (1 + hλ)</t>
  </si>
  <si>
    <t>λ = exp(β0 + β1 × year)</t>
  </si>
  <si>
    <t>Log-likelihood = VosePolyaProb10(accidents, 1/h, λh, FALSE) × ln 10</t>
  </si>
  <si>
    <t>Weight = λ / (1 + hλ): each year's information about the trend</t>
  </si>
  <si>
    <t>Score β0 = (accidents − λ) / (1 + hλ); score β1 = year × the same</t>
  </si>
  <si>
    <t>At the maximum both scores add up to about 0</t>
  </si>
  <si>
    <t>Total</t>
  </si>
  <si>
    <t>Solver maximises the total log-likelihood by changing β0, β1 and h</t>
  </si>
  <si>
    <t>2   History and the fitted trend</t>
  </si>
  <si>
    <t>Fitted λ</t>
  </si>
  <si>
    <t>FORECAST   ·   The parameters' uncertainty, and the next three years with and without it.</t>
  </si>
  <si>
    <t>◂  History</t>
  </si>
  <si>
    <t>Next:  Results  ▸</t>
  </si>
  <si>
    <t>1   Uncertainty in the fitted trend</t>
  </si>
  <si>
    <t>The information matrix (sums of the weights) inverted: the covariance of β0 and β1, and the Cholesky factor that turns two independent normal draws into correlated ones.</t>
  </si>
  <si>
    <t>Information: Σ weight</t>
  </si>
  <si>
    <t>The information matrix [Σw, Σw·year; Σw·year, Σw·year²]</t>
  </si>
  <si>
    <t>Information: Σ weight × year</t>
  </si>
  <si>
    <t>Information: Σ weight × year²</t>
  </si>
  <si>
    <t>Determinant</t>
  </si>
  <si>
    <t>Variance of β0</t>
  </si>
  <si>
    <t>The inverse of a 2 × 2 matrix</t>
  </si>
  <si>
    <t>Covariance of β0 and β1</t>
  </si>
  <si>
    <t>Variance of β1</t>
  </si>
  <si>
    <t>Standard error of β0</t>
  </si>
  <si>
    <t>Standard error of β1</t>
  </si>
  <si>
    <t>β1 ± 2 standard errors: the growth rate's plausible range</t>
  </si>
  <si>
    <t>Correlation of β0 and β1</t>
  </si>
  <si>
    <t>Cholesky factor a</t>
  </si>
  <si>
    <t>β0 = fit + a × draw 1</t>
  </si>
  <si>
    <t>Cholesky factor b</t>
  </si>
  <si>
    <t>β1 = fit + b × draw 1 + c × draw 2</t>
  </si>
  <si>
    <t>Cholesky factor c</t>
  </si>
  <si>
    <t>2   The parameters in this iteration</t>
  </si>
  <si>
    <t>Fixed: the fit. Uncertain: drawn around the fit from their covariance.</t>
  </si>
  <si>
    <t>Standard normal draw 1</t>
  </si>
  <si>
    <t>VoseNormal(0, 1)</t>
  </si>
  <si>
    <t>Standard normal draw 2</t>
  </si>
  <si>
    <t>β0, uncertain</t>
  </si>
  <si>
    <t>β0 + a × draw 1</t>
  </si>
  <si>
    <t>β1, uncertain</t>
  </si>
  <si>
    <t>β1 + b × draw 1 + c × draw 2: correlated with β0</t>
  </si>
  <si>
    <t>3   The next three years</t>
  </si>
  <si>
    <t>Accidents in each year: with the fitted parameters, and with the uncertain ones.</t>
  </si>
  <si>
    <t>Expected, fit</t>
  </si>
  <si>
    <t>Accidents, fit</t>
  </si>
  <si>
    <t>Expected, uncertain</t>
  </si>
  <si>
    <t>Accidents, uncertain</t>
  </si>
  <si>
    <t>λ</t>
  </si>
  <si>
    <t>this iteration</t>
  </si>
  <si>
    <t>Fit: VosePolya(1/h, λh) with λ = exp(β0 + β1 × year)</t>
  </si>
  <si>
    <t>Uncertain: the same with this iteration's β0 and β1</t>
  </si>
  <si>
    <t>Each column is an output range for the Results Viewer</t>
  </si>
  <si>
    <t>4   Model checks</t>
  </si>
  <si>
    <t>Should all read OK. A CHECK means an input has been set outside the range the model is built for.</t>
  </si>
  <si>
    <t>The stored parameters maximise the log-likelihood  (both scores ≈ 0)</t>
  </si>
  <si>
    <t>h is above 0</t>
  </si>
  <si>
    <t>RESULTS   ·   Filled in automatically from the last simulation. Run a simulation after changing any input.</t>
  </si>
  <si>
    <t>◂  Forecast</t>
  </si>
  <si>
    <t>1   Accidents in the next three years</t>
  </si>
  <si>
    <t>Year 3 — accidents</t>
  </si>
  <si>
    <t>With the fitted parameters, and with their uncertainty included.</t>
  </si>
  <si>
    <t>Measure</t>
  </si>
  <si>
    <t>10th pct</t>
  </si>
  <si>
    <t>Median</t>
  </si>
  <si>
    <t>90th pct</t>
  </si>
  <si>
    <t>Mean</t>
  </si>
  <si>
    <t>Year 1, fitted parameters</t>
  </si>
  <si>
    <t>accidents</t>
  </si>
  <si>
    <t>Year 1, with parameter uncertainty</t>
  </si>
  <si>
    <t>Year 2, fitted parameters</t>
  </si>
  <si>
    <t>Year 2, with parameter uncertainty</t>
  </si>
  <si>
    <t>Year 3, fitted parameters</t>
  </si>
  <si>
    <t>Year 3, with parameter uncertainty</t>
  </si>
  <si>
    <t>Value</t>
  </si>
  <si>
    <t>Standard deviation, year 3, fitted parameters</t>
  </si>
  <si>
    <t>Standard deviation, year 3, with parameter uncertainty</t>
  </si>
  <si>
    <t>2   The fitted trend</t>
  </si>
  <si>
    <t>From the History sheet: the maximum-likelihood fit and its standard error.</t>
  </si>
  <si>
    <t>Growth per year, fitted  (exp(β1) − 1)</t>
  </si>
  <si>
    <t>per year</t>
  </si>
  <si>
    <t>Growth per year, minus 2 standard errors</t>
  </si>
  <si>
    <t>Growth per year, plus 2 standard errors</t>
  </si>
  <si>
    <t>Log-likelihood at the fit</t>
  </si>
  <si>
    <t>3   How to read these results</t>
  </si>
  <si>
    <t>•  The fitted trend is about 3% growth a year, but sixteen noisy years pin it down poorly: within two standard errors it could be anything from a small decline to about 8% growth a year.</t>
  </si>
  <si>
    <t>•  With the fitted parameters, the forecast's spread is the Pólya scatter alone. Including the uncertainty in β0 and β1 widens it: the 90th percentile of year 3 moves up by about 200 accidents and the standard deviation by about a quarter, and the difference grows with every year projected.</t>
  </si>
  <si>
    <t>•  The year-to-year scatter is still the larger part of the uncertainty: h = 0.17 means a year's standard deviation is about 40% of its expected value.</t>
  </si>
  <si>
    <t>•  After adding data, refit with Solver (maximise the log-likelihood on the History sheet by changing β0, β1 and h on the Inputs sheet). The score check confirms that the stored parameters are at the maximum.</t>
  </si>
  <si>
    <t>Chart data</t>
  </si>
  <si>
    <t>Statistics of the last simulation behind the charts and the ranking above. Grouped: click + in the left margin to show them.</t>
  </si>
  <si>
    <t>Cumulative probability</t>
  </si>
  <si>
    <t>Exceedance</t>
  </si>
  <si>
    <t>Fit_3</t>
  </si>
  <si>
    <t>Unc_3</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</si>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</sst>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0"/>
    <numFmt numFmtId="165" formatCode="#,##0_);\(#,##0\);&quot;–&quot;_)"/>
    <numFmt numFmtId="166" formatCode="#,##0.00_);\(#,##0.00\);&quot;–&quot;_)"/>
    <numFmt numFmtId="167" formatCode="0.0000"/>
    <numFmt numFmtId="168" formatCode="#,##0.0_);\(#,##0.0\);&quot;–&quot;_)"/>
    <numFmt numFmtId="169" formatCode="0.00000"/>
    <numFmt numFmtId="170" formatCode="0.000"/>
    <numFmt numFmtId="171" formatCode="#,##0_);\(#,##0\);&quot;–&quot;_);&quot;–&quot;"/>
    <numFmt numFmtId="172" formatCode="0.0%"/>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1">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5" fontId="1" fillId="2" borderId="7" xfId="1" applyNumberFormat="1" applyBorder="1">
      <alignment horizontal="right" vertical="center"/>
    </xf>
    <xf numFmtId="165" fontId="3" fillId="0" borderId="8" xfId="3" applyNumberFormat="1" applyBorder="1">
      <alignment horizontal="right" vertical="center"/>
    </xf>
    <xf numFmtId="2" fontId="3" fillId="0" borderId="8" xfId="3" applyNumberFormat="1" applyBorder="1">
      <alignment horizontal="right" vertical="center"/>
    </xf>
    <xf numFmtId="166" fontId="3" fillId="0" borderId="8" xfId="3" applyNumberFormat="1" applyBorder="1">
      <alignment horizontal="right" vertical="center"/>
    </xf>
    <xf numFmtId="0" fontId="12" fillId="0" borderId="9" xfId="0" applyFont="1" applyBorder="1" applyAlignment="1">
      <alignment horizontal="left" vertical="center" indent="1"/>
    </xf>
    <xf numFmtId="0" fontId="0" fillId="0" borderId="9" xfId="0" applyBorder="1"/>
    <xf numFmtId="2" fontId="12" fillId="0" borderId="9" xfId="3" applyNumberFormat="1" applyFont="1" applyBorder="1">
      <alignment horizontal="right" vertical="center"/>
    </xf>
    <xf numFmtId="166" fontId="12" fillId="0" borderId="9" xfId="3" applyNumberFormat="1" applyFont="1" applyBorder="1">
      <alignment horizontal="right" vertical="center"/>
    </xf>
    <xf numFmtId="167" fontId="12" fillId="0" borderId="9" xfId="3" applyNumberFormat="1" applyFont="1" applyBorder="1">
      <alignment horizontal="right" vertical="center"/>
    </xf>
    <xf numFmtId="0" fontId="18" fillId="0" borderId="9" xfId="0" applyFont="1" applyBorder="1" applyAlignment="1">
      <alignment horizontal="left" vertical="center" indent="1"/>
    </xf>
    <xf numFmtId="0" fontId="17" fillId="0" borderId="0" xfId="0" applyFont="1"/>
    <xf numFmtId="165" fontId="3" fillId="0" borderId="2" xfId="3" applyNumberFormat="1">
      <alignment horizontal="right" vertical="center"/>
    </xf>
    <xf numFmtId="168" fontId="3" fillId="0" borderId="8" xfId="3" applyNumberFormat="1" applyBorder="1">
      <alignment horizontal="right" vertical="center"/>
    </xf>
    <xf numFmtId="169" fontId="3" fillId="0" borderId="8" xfId="3" applyNumberFormat="1" applyBorder="1">
      <alignment horizontal="right" vertical="center"/>
    </xf>
    <xf numFmtId="167" fontId="3" fillId="0" borderId="8" xfId="3" applyNumberFormat="1" applyBorder="1">
      <alignment horizontal="right" vertical="center"/>
    </xf>
    <xf numFmtId="170" fontId="2" fillId="3" borderId="7" xfId="2" applyNumberFormat="1" applyBorder="1">
      <alignment horizontal="right" vertical="center"/>
    </xf>
    <xf numFmtId="164" fontId="3" fillId="0" borderId="8" xfId="3"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65"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2" fillId="0" borderId="5" xfId="0" applyFont="1" applyBorder="1"/>
    <xf numFmtId="171" fontId="1" fillId="5" borderId="7" xfId="5" applyNumberFormat="1" applyBorder="1">
      <alignment horizontal="right" vertical="center"/>
    </xf>
    <xf numFmtId="0" fontId="11" fillId="0" borderId="6" xfId="0" applyFont="1" applyBorder="1" applyAlignment="1">
      <alignment horizontal="left" vertical="center" indent="1"/>
    </xf>
    <xf numFmtId="172" fontId="3" fillId="0" borderId="8" xfId="3" applyNumberFormat="1" applyBorder="1">
      <alignment horizontal="right" vertical="center"/>
    </xf>
    <xf numFmtId="0" fontId="21"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4">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Accidents</c:v>
          </c:tx>
          <c:spPr>
            <a:ln>
              <a:noFill/>
              <a:prstDash val="solid"/>
            </a:ln>
          </c:spPr>
          <c:marker>
            <c:symbol val="circle"/>
            <c:size val="5"/>
            <c:spPr>
              <a:solidFill>
                <a:srgbClr val="0E4F92"/>
              </a:solidFill>
              <a:ln>
                <a:solidFill>
                  <a:srgbClr val="0E4F92"/>
                </a:solidFill>
                <a:prstDash val="solid"/>
              </a:ln>
            </c:spPr>
          </c:marker>
          <c:xVal>
            <c:numRef>
              <c:f>History!$B$48:$B$66</c:f>
              <c:numCache>
                <c:formatCode>General</c:formatCode>
                <c:ptCount val="19"/>
                <c:pt idx="0">
                  <c:v>-15</c:v>
                </c:pt>
                <c:pt idx="1">
                  <c:v>-14</c:v>
                </c:pt>
                <c:pt idx="2">
                  <c:v>-13</c:v>
                </c:pt>
                <c:pt idx="3">
                  <c:v>-12</c:v>
                </c:pt>
                <c:pt idx="4">
                  <c:v>-11</c:v>
                </c:pt>
                <c:pt idx="5">
                  <c:v>-10</c:v>
                </c:pt>
                <c:pt idx="6">
                  <c:v>-9</c:v>
                </c:pt>
                <c:pt idx="7">
                  <c:v>-8</c:v>
                </c:pt>
                <c:pt idx="8">
                  <c:v>-7</c:v>
                </c:pt>
                <c:pt idx="9">
                  <c:v>-6</c:v>
                </c:pt>
                <c:pt idx="10">
                  <c:v>-5</c:v>
                </c:pt>
                <c:pt idx="11">
                  <c:v>-4</c:v>
                </c:pt>
                <c:pt idx="12">
                  <c:v>-3</c:v>
                </c:pt>
                <c:pt idx="13">
                  <c:v>-2</c:v>
                </c:pt>
                <c:pt idx="14">
                  <c:v>-1</c:v>
                </c:pt>
                <c:pt idx="15">
                  <c:v>0</c:v>
                </c:pt>
                <c:pt idx="16">
                  <c:v>1</c:v>
                </c:pt>
                <c:pt idx="17">
                  <c:v>2</c:v>
                </c:pt>
                <c:pt idx="18">
                  <c:v>3</c:v>
                </c:pt>
              </c:numCache>
            </c:numRef>
          </c:xVal>
          <c:yVal>
            <c:numRef>
              <c:f>History!$C$48:$C$66</c:f>
              <c:numCache>
                <c:formatCode>General</c:formatCode>
                <c:ptCount val="19"/>
                <c:pt idx="0">
                  <c:v>668</c:v>
                </c:pt>
                <c:pt idx="1">
                  <c:v>486</c:v>
                </c:pt>
                <c:pt idx="2">
                  <c:v>658</c:v>
                </c:pt>
                <c:pt idx="3">
                  <c:v>900</c:v>
                </c:pt>
                <c:pt idx="4">
                  <c:v>1161</c:v>
                </c:pt>
                <c:pt idx="5">
                  <c:v>1833</c:v>
                </c:pt>
                <c:pt idx="6">
                  <c:v>905</c:v>
                </c:pt>
                <c:pt idx="7">
                  <c:v>1204</c:v>
                </c:pt>
                <c:pt idx="8">
                  <c:v>876</c:v>
                </c:pt>
                <c:pt idx="9">
                  <c:v>383</c:v>
                </c:pt>
                <c:pt idx="10">
                  <c:v>1408</c:v>
                </c:pt>
                <c:pt idx="11">
                  <c:v>392</c:v>
                </c:pt>
                <c:pt idx="12">
                  <c:v>716</c:v>
                </c:pt>
                <c:pt idx="13">
                  <c:v>1349</c:v>
                </c:pt>
                <c:pt idx="14">
                  <c:v>1409</c:v>
                </c:pt>
                <c:pt idx="15">
                  <c:v>1370</c:v>
                </c:pt>
              </c:numCache>
            </c:numRef>
          </c:yVal>
          <c:smooth val="1"/>
          <c:extLst>
            <c:ext xmlns:c16="http://schemas.microsoft.com/office/drawing/2014/chart" uri="{C3380CC4-5D6E-409C-BE32-E72D297353CC}">
              <c16:uniqueId val="{00000000-12E8-44C4-8ABD-BDBD2233CD5C}"/>
            </c:ext>
          </c:extLst>
        </c:ser>
        <c:ser>
          <c:idx val="1"/>
          <c:order val="1"/>
          <c:tx>
            <c:v>Fitted λ</c:v>
          </c:tx>
          <c:spPr>
            <a:ln w="22000">
              <a:solidFill>
                <a:srgbClr val="B45309"/>
              </a:solidFill>
              <a:prstDash val="solid"/>
            </a:ln>
          </c:spPr>
          <c:marker>
            <c:symbol val="none"/>
          </c:marker>
          <c:xVal>
            <c:numRef>
              <c:f>History!$B$48:$B$66</c:f>
              <c:numCache>
                <c:formatCode>General</c:formatCode>
                <c:ptCount val="19"/>
                <c:pt idx="0">
                  <c:v>-15</c:v>
                </c:pt>
                <c:pt idx="1">
                  <c:v>-14</c:v>
                </c:pt>
                <c:pt idx="2">
                  <c:v>-13</c:v>
                </c:pt>
                <c:pt idx="3">
                  <c:v>-12</c:v>
                </c:pt>
                <c:pt idx="4">
                  <c:v>-11</c:v>
                </c:pt>
                <c:pt idx="5">
                  <c:v>-10</c:v>
                </c:pt>
                <c:pt idx="6">
                  <c:v>-9</c:v>
                </c:pt>
                <c:pt idx="7">
                  <c:v>-8</c:v>
                </c:pt>
                <c:pt idx="8">
                  <c:v>-7</c:v>
                </c:pt>
                <c:pt idx="9">
                  <c:v>-6</c:v>
                </c:pt>
                <c:pt idx="10">
                  <c:v>-5</c:v>
                </c:pt>
                <c:pt idx="11">
                  <c:v>-4</c:v>
                </c:pt>
                <c:pt idx="12">
                  <c:v>-3</c:v>
                </c:pt>
                <c:pt idx="13">
                  <c:v>-2</c:v>
                </c:pt>
                <c:pt idx="14">
                  <c:v>-1</c:v>
                </c:pt>
                <c:pt idx="15">
                  <c:v>0</c:v>
                </c:pt>
                <c:pt idx="16">
                  <c:v>1</c:v>
                </c:pt>
                <c:pt idx="17">
                  <c:v>2</c:v>
                </c:pt>
                <c:pt idx="18">
                  <c:v>3</c:v>
                </c:pt>
              </c:numCache>
            </c:numRef>
          </c:xVal>
          <c:yVal>
            <c:numRef>
              <c:f>History!$D$48:$D$66</c:f>
              <c:numCache>
                <c:formatCode>#,##0_);\(#,##0\);"–"_)</c:formatCode>
                <c:ptCount val="19"/>
                <c:pt idx="0">
                  <c:v>780.7008172947684</c:v>
                </c:pt>
                <c:pt idx="1">
                  <c:v>804.03355228018825</c:v>
                </c:pt>
                <c:pt idx="2">
                  <c:v>828.06363061384013</c:v>
                </c:pt>
                <c:pt idx="3">
                  <c:v>852.81189373354289</c:v>
                </c:pt>
                <c:pt idx="4">
                  <c:v>878.29980596328721</c:v>
                </c:pt>
                <c:pt idx="5">
                  <c:v>904.54947312938441</c:v>
                </c:pt>
                <c:pt idx="6">
                  <c:v>931.58366173298134</c:v>
                </c:pt>
                <c:pt idx="7">
                  <c:v>959.42581869559706</c:v>
                </c:pt>
                <c:pt idx="8">
                  <c:v>988.10009169477792</c:v>
                </c:pt>
                <c:pt idx="9">
                  <c:v>1017.6313501075362</c:v>
                </c:pt>
                <c:pt idx="10">
                  <c:v>1048.0452065797137</c:v>
                </c:pt>
                <c:pt idx="11">
                  <c:v>1079.3680392399888</c:v>
                </c:pt>
                <c:pt idx="12">
                  <c:v>1111.6270145777985</c:v>
                </c:pt>
                <c:pt idx="13">
                  <c:v>1144.8501110049974</c:v>
                </c:pt>
                <c:pt idx="14">
                  <c:v>1179.0661431217195</c:v>
                </c:pt>
                <c:pt idx="15">
                  <c:v>1214.3047867074517</c:v>
                </c:pt>
                <c:pt idx="16">
                  <c:v>1250.5966044590323</c:v>
                </c:pt>
                <c:pt idx="17">
                  <c:v>1287.973072497866</c:v>
                </c:pt>
                <c:pt idx="18">
                  <c:v>1326.4666076693593</c:v>
                </c:pt>
              </c:numCache>
            </c:numRef>
          </c:yVal>
          <c:smooth val="1"/>
          <c:extLst>
            <c:ext xmlns:c16="http://schemas.microsoft.com/office/drawing/2014/chart" uri="{C3380CC4-5D6E-409C-BE32-E72D297353CC}">
              <c16:uniqueId val="{00000001-12E8-44C4-8ABD-BDBD2233CD5C}"/>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Year</a:t>
                </a:r>
              </a:p>
            </c:rich>
          </c:tx>
          <c:overlay val="0"/>
        </c:title>
        <c:numFmt formatCode="0" sourceLinked="0"/>
        <c:majorTickMark val="none"/>
        <c:minorTickMark val="none"/>
        <c:tickLblPos val="nextTo"/>
        <c:crossAx val="20"/>
        <c:crosses val="autoZero"/>
        <c:crossBetween val="midCat"/>
      </c:valAx>
      <c:valAx>
        <c:axId val="20"/>
        <c:scaling>
          <c:orientation val="minMax"/>
          <c:min val="0"/>
        </c:scaling>
        <c:delete val="0"/>
        <c:axPos val="l"/>
        <c:majorGridlines>
          <c:spPr>
            <a:ln>
              <a:solidFill>
                <a:srgbClr val="E4E9F0"/>
              </a:solidFill>
              <a:prstDash val="solid"/>
            </a:ln>
          </c:spPr>
        </c:majorGridlines>
        <c:title>
          <c:tx>
            <c:rich>
              <a:bodyPr/>
              <a:lstStyle/>
              <a:p>
                <a:pPr>
                  <a:defRPr/>
                </a:pPr>
                <a:r>
                  <a:rPr lang="en-US"/>
                  <a:t>Accidents per year</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Year 3, fitted parameters</c:v>
          </c:tx>
          <c:spPr>
            <a:ln w="25400">
              <a:solidFill>
                <a:srgbClr val="0E4F92"/>
              </a:solidFill>
              <a:prstDash val="solid"/>
            </a:ln>
          </c:spPr>
          <c:marker>
            <c:symbol val="none"/>
          </c:marker>
          <c:xVal>
            <c:numRef>
              <c:f>Results!$D$39:$D$88</c:f>
              <c:numCache>
                <c:formatCode>#,##0.00</c:formatCode>
                <c:ptCount val="50"/>
                <c:pt idx="0">
                  <c:v>374</c:v>
                </c:pt>
                <c:pt idx="1">
                  <c:v>506</c:v>
                </c:pt>
                <c:pt idx="2">
                  <c:v>577</c:v>
                </c:pt>
                <c:pt idx="3">
                  <c:v>629</c:v>
                </c:pt>
                <c:pt idx="4">
                  <c:v>677</c:v>
                </c:pt>
                <c:pt idx="5">
                  <c:v>715</c:v>
                </c:pt>
                <c:pt idx="6">
                  <c:v>749</c:v>
                </c:pt>
                <c:pt idx="7">
                  <c:v>781</c:v>
                </c:pt>
                <c:pt idx="8">
                  <c:v>809</c:v>
                </c:pt>
                <c:pt idx="9">
                  <c:v>839</c:v>
                </c:pt>
                <c:pt idx="10">
                  <c:v>871</c:v>
                </c:pt>
                <c:pt idx="11">
                  <c:v>900</c:v>
                </c:pt>
                <c:pt idx="12">
                  <c:v>926</c:v>
                </c:pt>
                <c:pt idx="13">
                  <c:v>952</c:v>
                </c:pt>
                <c:pt idx="14">
                  <c:v>977</c:v>
                </c:pt>
                <c:pt idx="15">
                  <c:v>1004</c:v>
                </c:pt>
                <c:pt idx="16">
                  <c:v>1026</c:v>
                </c:pt>
                <c:pt idx="17">
                  <c:v>1051</c:v>
                </c:pt>
                <c:pt idx="18">
                  <c:v>1080</c:v>
                </c:pt>
                <c:pt idx="19">
                  <c:v>1105</c:v>
                </c:pt>
                <c:pt idx="20">
                  <c:v>1132</c:v>
                </c:pt>
                <c:pt idx="21">
                  <c:v>1157</c:v>
                </c:pt>
                <c:pt idx="22">
                  <c:v>1184</c:v>
                </c:pt>
                <c:pt idx="23">
                  <c:v>1212</c:v>
                </c:pt>
                <c:pt idx="24">
                  <c:v>1239</c:v>
                </c:pt>
                <c:pt idx="25">
                  <c:v>1266</c:v>
                </c:pt>
                <c:pt idx="26">
                  <c:v>1291</c:v>
                </c:pt>
                <c:pt idx="27">
                  <c:v>1316</c:v>
                </c:pt>
                <c:pt idx="28">
                  <c:v>1345</c:v>
                </c:pt>
                <c:pt idx="29">
                  <c:v>1372</c:v>
                </c:pt>
                <c:pt idx="30">
                  <c:v>1407</c:v>
                </c:pt>
                <c:pt idx="31">
                  <c:v>1437</c:v>
                </c:pt>
                <c:pt idx="32">
                  <c:v>1472</c:v>
                </c:pt>
                <c:pt idx="33">
                  <c:v>1507</c:v>
                </c:pt>
                <c:pt idx="34">
                  <c:v>1543</c:v>
                </c:pt>
                <c:pt idx="35">
                  <c:v>1580</c:v>
                </c:pt>
                <c:pt idx="36">
                  <c:v>1617</c:v>
                </c:pt>
                <c:pt idx="37">
                  <c:v>1656</c:v>
                </c:pt>
                <c:pt idx="38">
                  <c:v>1697</c:v>
                </c:pt>
                <c:pt idx="39">
                  <c:v>1735</c:v>
                </c:pt>
                <c:pt idx="40">
                  <c:v>1780</c:v>
                </c:pt>
                <c:pt idx="41">
                  <c:v>1828</c:v>
                </c:pt>
                <c:pt idx="42">
                  <c:v>1889</c:v>
                </c:pt>
                <c:pt idx="43">
                  <c:v>1954</c:v>
                </c:pt>
                <c:pt idx="44">
                  <c:v>2032</c:v>
                </c:pt>
                <c:pt idx="45">
                  <c:v>2116</c:v>
                </c:pt>
                <c:pt idx="46">
                  <c:v>2224</c:v>
                </c:pt>
                <c:pt idx="47">
                  <c:v>2355</c:v>
                </c:pt>
                <c:pt idx="48">
                  <c:v>2551</c:v>
                </c:pt>
                <c:pt idx="49">
                  <c:v>2953</c:v>
                </c:pt>
              </c:numCache>
            </c:numRef>
          </c:xVal>
          <c:yVal>
            <c:numRef>
              <c:f>Results!$B$39:$B$88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21D-421D-9574-03FECDB72A4C}"/>
            </c:ext>
          </c:extLst>
        </c:ser>
        <c:ser>
          <c:idx val="1"/>
          <c:order val="1"/>
          <c:tx>
            <c:v>Year 3, with parameter uncertainty</c:v>
          </c:tx>
          <c:spPr>
            <a:ln w="25400">
              <a:solidFill>
                <a:srgbClr val="B45309"/>
              </a:solidFill>
              <a:prstDash val="dash"/>
            </a:ln>
          </c:spPr>
          <c:marker>
            <c:symbol val="none"/>
          </c:marker>
          <c:xVal>
            <c:numRef>
              <c:f>Results!$E$39:$E$88</c:f>
              <c:numCache>
                <c:formatCode>#,##0.00</c:formatCode>
                <c:ptCount val="50"/>
                <c:pt idx="0">
                  <c:v>334</c:v>
                </c:pt>
                <c:pt idx="1">
                  <c:v>431</c:v>
                </c:pt>
                <c:pt idx="2">
                  <c:v>491</c:v>
                </c:pt>
                <c:pt idx="3">
                  <c:v>545</c:v>
                </c:pt>
                <c:pt idx="4">
                  <c:v>591</c:v>
                </c:pt>
                <c:pt idx="5">
                  <c:v>634</c:v>
                </c:pt>
                <c:pt idx="6">
                  <c:v>673</c:v>
                </c:pt>
                <c:pt idx="7">
                  <c:v>712</c:v>
                </c:pt>
                <c:pt idx="8">
                  <c:v>744</c:v>
                </c:pt>
                <c:pt idx="9">
                  <c:v>778</c:v>
                </c:pt>
                <c:pt idx="10">
                  <c:v>808</c:v>
                </c:pt>
                <c:pt idx="11">
                  <c:v>839</c:v>
                </c:pt>
                <c:pt idx="12">
                  <c:v>873</c:v>
                </c:pt>
                <c:pt idx="13">
                  <c:v>903</c:v>
                </c:pt>
                <c:pt idx="14">
                  <c:v>930</c:v>
                </c:pt>
                <c:pt idx="15">
                  <c:v>959</c:v>
                </c:pt>
                <c:pt idx="16">
                  <c:v>985</c:v>
                </c:pt>
                <c:pt idx="17">
                  <c:v>1014</c:v>
                </c:pt>
                <c:pt idx="18">
                  <c:v>1048</c:v>
                </c:pt>
                <c:pt idx="19">
                  <c:v>1078</c:v>
                </c:pt>
                <c:pt idx="20">
                  <c:v>1106</c:v>
                </c:pt>
                <c:pt idx="21">
                  <c:v>1134</c:v>
                </c:pt>
                <c:pt idx="22">
                  <c:v>1160</c:v>
                </c:pt>
                <c:pt idx="23">
                  <c:v>1188</c:v>
                </c:pt>
                <c:pt idx="24">
                  <c:v>1220</c:v>
                </c:pt>
                <c:pt idx="25">
                  <c:v>1252</c:v>
                </c:pt>
                <c:pt idx="26">
                  <c:v>1281</c:v>
                </c:pt>
                <c:pt idx="27">
                  <c:v>1312</c:v>
                </c:pt>
                <c:pt idx="28">
                  <c:v>1344</c:v>
                </c:pt>
                <c:pt idx="29">
                  <c:v>1378</c:v>
                </c:pt>
                <c:pt idx="30">
                  <c:v>1419</c:v>
                </c:pt>
                <c:pt idx="31">
                  <c:v>1452</c:v>
                </c:pt>
                <c:pt idx="32">
                  <c:v>1491</c:v>
                </c:pt>
                <c:pt idx="33">
                  <c:v>1527</c:v>
                </c:pt>
                <c:pt idx="34">
                  <c:v>1573</c:v>
                </c:pt>
                <c:pt idx="35">
                  <c:v>1617</c:v>
                </c:pt>
                <c:pt idx="36">
                  <c:v>1667</c:v>
                </c:pt>
                <c:pt idx="37">
                  <c:v>1718</c:v>
                </c:pt>
                <c:pt idx="38">
                  <c:v>1766</c:v>
                </c:pt>
                <c:pt idx="39">
                  <c:v>1829</c:v>
                </c:pt>
                <c:pt idx="40">
                  <c:v>1898</c:v>
                </c:pt>
                <c:pt idx="41">
                  <c:v>1963</c:v>
                </c:pt>
                <c:pt idx="42">
                  <c:v>2039</c:v>
                </c:pt>
                <c:pt idx="43">
                  <c:v>2130</c:v>
                </c:pt>
                <c:pt idx="44">
                  <c:v>2222</c:v>
                </c:pt>
                <c:pt idx="45">
                  <c:v>2343</c:v>
                </c:pt>
                <c:pt idx="46">
                  <c:v>2489</c:v>
                </c:pt>
                <c:pt idx="47">
                  <c:v>2673</c:v>
                </c:pt>
                <c:pt idx="48">
                  <c:v>3005</c:v>
                </c:pt>
                <c:pt idx="49">
                  <c:v>3601</c:v>
                </c:pt>
              </c:numCache>
            </c:numRef>
          </c:xVal>
          <c:yVal>
            <c:numRef>
              <c:f>Results!$B$39:$B$88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A21D-421D-9574-03FECDB72A4C}"/>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Accidents</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28</xdr:row>
      <xdr:rowOff>0</xdr:rowOff>
    </xdr:from>
    <xdr:ext cx="72000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8" t="s">
        <v>20</v>
      </c>
      <c r="C16" s="67"/>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39.4" x14ac:dyDescent="0.45">
      <c r="B30" s="9" t="s">
        <v>27</v>
      </c>
      <c r="C30" s="10" t="s">
        <v>28</v>
      </c>
    </row>
    <row r="31" spans="2:3"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ht="12" customHeight="1" x14ac:dyDescent="0.45"/>
    <row r="39" spans="2:3" ht="22.05" customHeight="1" x14ac:dyDescent="0.5">
      <c r="B39" s="7" t="s">
        <v>40</v>
      </c>
      <c r="C39" s="8"/>
    </row>
    <row r="40" spans="2:3" x14ac:dyDescent="0.45">
      <c r="B40" s="14" t="s">
        <v>41</v>
      </c>
      <c r="C40" s="10" t="s">
        <v>42</v>
      </c>
    </row>
    <row r="41" spans="2:3" x14ac:dyDescent="0.45">
      <c r="B41" s="14" t="s">
        <v>43</v>
      </c>
      <c r="C41" s="10" t="s">
        <v>44</v>
      </c>
    </row>
    <row r="42" spans="2:3" x14ac:dyDescent="0.45">
      <c r="B42" s="14" t="s">
        <v>45</v>
      </c>
      <c r="C42" s="10" t="s">
        <v>46</v>
      </c>
    </row>
    <row r="43" spans="2:3" x14ac:dyDescent="0.45">
      <c r="B43" s="14" t="s">
        <v>47</v>
      </c>
      <c r="C43" s="10" t="s">
        <v>48</v>
      </c>
    </row>
    <row r="44" spans="2:3" ht="12" customHeight="1" x14ac:dyDescent="0.45"/>
    <row r="45" spans="2:3" ht="22.05" customHeight="1" x14ac:dyDescent="0.5">
      <c r="B45" s="7" t="s">
        <v>49</v>
      </c>
      <c r="C45" s="8"/>
    </row>
    <row r="46" spans="2:3" x14ac:dyDescent="0.45">
      <c r="B46" s="15" t="s">
        <v>50</v>
      </c>
      <c r="C46" s="12" t="s">
        <v>51</v>
      </c>
    </row>
    <row r="47" spans="2:3" x14ac:dyDescent="0.45">
      <c r="B47" s="16" t="s">
        <v>52</v>
      </c>
      <c r="C47" s="12" t="s">
        <v>53</v>
      </c>
    </row>
    <row r="48" spans="2:3" x14ac:dyDescent="0.45">
      <c r="B48" s="17" t="s">
        <v>54</v>
      </c>
      <c r="C48" s="12" t="s">
        <v>55</v>
      </c>
    </row>
    <row r="49" spans="2:3" x14ac:dyDescent="0.45">
      <c r="B49" s="18" t="s">
        <v>56</v>
      </c>
      <c r="C49" s="12" t="s">
        <v>57</v>
      </c>
    </row>
    <row r="50" spans="2:3" x14ac:dyDescent="0.45">
      <c r="B50" s="19" t="s">
        <v>58</v>
      </c>
      <c r="C50" s="12" t="s">
        <v>59</v>
      </c>
    </row>
    <row r="51" spans="2:3" ht="12" customHeight="1" x14ac:dyDescent="0.45"/>
    <row r="52" spans="2:3" ht="22.05" customHeight="1" x14ac:dyDescent="0.5">
      <c r="B52" s="7" t="s">
        <v>60</v>
      </c>
      <c r="C52" s="8"/>
    </row>
    <row r="53" spans="2:3"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ht="12" customHeight="1" x14ac:dyDescent="0.45"/>
    <row r="63" spans="2:3" ht="22.05" customHeight="1" x14ac:dyDescent="0.5">
      <c r="B63" s="7" t="s">
        <v>76</v>
      </c>
      <c r="C63" s="8"/>
    </row>
    <row r="64" spans="2:3" x14ac:dyDescent="0.45">
      <c r="B64" s="20" t="s">
        <v>77</v>
      </c>
      <c r="C64" s="10" t="s">
        <v>78</v>
      </c>
    </row>
    <row r="65" spans="2:3" x14ac:dyDescent="0.45">
      <c r="B65" s="20" t="s">
        <v>79</v>
      </c>
      <c r="C65" s="10" t="s">
        <v>80</v>
      </c>
    </row>
    <row r="66" spans="2:3" x14ac:dyDescent="0.45">
      <c r="B66" s="20" t="s">
        <v>81</v>
      </c>
      <c r="C66" s="10" t="s">
        <v>82</v>
      </c>
    </row>
    <row r="67" spans="2:3" x14ac:dyDescent="0.45">
      <c r="B67" s="20" t="s">
        <v>83</v>
      </c>
      <c r="C67" s="10" t="s">
        <v>84</v>
      </c>
    </row>
    <row r="68" spans="2:3" ht="26.25" x14ac:dyDescent="0.45">
      <c r="B68" s="20" t="s">
        <v>85</v>
      </c>
      <c r="C68" s="10" t="s">
        <v>86</v>
      </c>
    </row>
    <row r="69" spans="2:3" ht="12" customHeight="1" x14ac:dyDescent="0.45"/>
    <row r="70" spans="2:3" ht="22.05" customHeight="1" x14ac:dyDescent="0.5">
      <c r="B70" s="7" t="s">
        <v>87</v>
      </c>
      <c r="C70" s="8"/>
    </row>
    <row r="71" spans="2:3" ht="26.25" x14ac:dyDescent="0.45">
      <c r="B71" s="9" t="s">
        <v>88</v>
      </c>
      <c r="C71" s="10" t="s">
        <v>89</v>
      </c>
    </row>
    <row r="72" spans="2:3" x14ac:dyDescent="0.45">
      <c r="B72" s="9" t="s">
        <v>90</v>
      </c>
      <c r="C72" s="10" t="s">
        <v>91</v>
      </c>
    </row>
    <row r="73" spans="2:3" ht="16.05" customHeight="1" x14ac:dyDescent="0.45"/>
    <row r="74" spans="2:3" x14ac:dyDescent="0.45">
      <c r="B74" s="66" t="s">
        <v>92</v>
      </c>
      <c r="C74" s="67"/>
    </row>
  </sheetData>
  <mergeCells count="2">
    <mergeCell ref="B74:C74"/>
    <mergeCell ref="B16:C16"/>
  </mergeCells>
  <hyperlinks>
    <hyperlink ref="D4" location="'Inputs'!A1" display="Next:  Inputs  ▸" xr:uid="{00000000-0004-0000-0000-000000000000}"/>
    <hyperlink ref="B40" location="'Inputs'!A1" display="Inputs" xr:uid="{00000000-0004-0000-0000-000001000000}"/>
    <hyperlink ref="B41" location="'History'!A1" display="History" xr:uid="{00000000-0004-0000-0000-000002000000}"/>
    <hyperlink ref="B42" location="'Forecast'!A1" display="Forecast" xr:uid="{00000000-0004-0000-0000-000003000000}"/>
    <hyperlink ref="B43"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4"/>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93</v>
      </c>
      <c r="C3" s="1"/>
      <c r="D3" s="1"/>
      <c r="E3" s="1"/>
      <c r="F3" s="1"/>
      <c r="G3" s="1"/>
      <c r="H3" s="1"/>
      <c r="I3" s="1"/>
      <c r="J3" s="1"/>
    </row>
    <row r="4" spans="1:10" ht="20" customHeight="1" x14ac:dyDescent="0.45">
      <c r="A4" s="5"/>
      <c r="B4" s="22" t="s">
        <v>94</v>
      </c>
      <c r="C4" s="5"/>
      <c r="D4" s="5"/>
      <c r="E4" s="5"/>
      <c r="F4" s="5"/>
      <c r="G4" s="5"/>
      <c r="H4" s="5"/>
      <c r="I4" s="5"/>
      <c r="J4" s="6" t="s">
        <v>95</v>
      </c>
    </row>
    <row r="5" spans="1:10" ht="8" customHeight="1" x14ac:dyDescent="0.45"/>
    <row r="6" spans="1:10" ht="20" customHeight="1" x14ac:dyDescent="0.45">
      <c r="B6" s="69" t="s">
        <v>96</v>
      </c>
      <c r="C6" s="67"/>
      <c r="D6" s="67"/>
      <c r="E6" s="67"/>
      <c r="F6" s="67"/>
      <c r="G6" s="67"/>
      <c r="H6" s="67"/>
      <c r="I6" s="67"/>
      <c r="J6" s="67"/>
    </row>
    <row r="7" spans="1:10" ht="6" customHeight="1" x14ac:dyDescent="0.45"/>
    <row r="8" spans="1:10" ht="22.05" customHeight="1" x14ac:dyDescent="0.5">
      <c r="B8" s="7" t="s">
        <v>97</v>
      </c>
      <c r="C8" s="8"/>
      <c r="D8" s="8"/>
      <c r="E8" s="8"/>
      <c r="F8" s="8"/>
      <c r="G8" s="8"/>
      <c r="H8" s="8"/>
      <c r="I8" s="8"/>
      <c r="J8" s="8"/>
    </row>
    <row r="9" spans="1:10" ht="18" customHeight="1" x14ac:dyDescent="0.45">
      <c r="B9" s="13" t="s">
        <v>98</v>
      </c>
    </row>
    <row r="10" spans="1:10" ht="18" customHeight="1" x14ac:dyDescent="0.45">
      <c r="B10" s="23" t="s">
        <v>99</v>
      </c>
      <c r="C10" s="23" t="s">
        <v>100</v>
      </c>
      <c r="D10" s="24" t="s">
        <v>101</v>
      </c>
      <c r="E10" s="23" t="s">
        <v>102</v>
      </c>
      <c r="F10" s="5"/>
      <c r="G10" s="5"/>
      <c r="H10" s="5"/>
      <c r="I10" s="5"/>
      <c r="J10" s="23" t="s">
        <v>103</v>
      </c>
    </row>
    <row r="11" spans="1:10" x14ac:dyDescent="0.45">
      <c r="B11" s="25" t="s">
        <v>104</v>
      </c>
      <c r="C11" s="26"/>
      <c r="D11" s="27">
        <v>7.1019269999999999</v>
      </c>
      <c r="E11" s="26" t="s">
        <v>105</v>
      </c>
      <c r="F11" s="28"/>
      <c r="G11" s="28"/>
      <c r="H11" s="28"/>
      <c r="I11" s="28"/>
      <c r="J11" s="29" t="s">
        <v>106</v>
      </c>
    </row>
    <row r="12" spans="1:10" x14ac:dyDescent="0.45">
      <c r="B12" s="25" t="s">
        <v>107</v>
      </c>
      <c r="C12" s="26"/>
      <c r="D12" s="27">
        <v>2.9448999999999999E-2</v>
      </c>
      <c r="E12" s="26" t="s">
        <v>105</v>
      </c>
      <c r="F12" s="28"/>
      <c r="G12" s="28"/>
      <c r="H12" s="28"/>
      <c r="I12" s="28"/>
      <c r="J12" s="29" t="s">
        <v>108</v>
      </c>
    </row>
    <row r="13" spans="1:10" x14ac:dyDescent="0.45">
      <c r="B13" s="25" t="s">
        <v>109</v>
      </c>
      <c r="C13" s="26"/>
      <c r="D13" s="27">
        <v>0.17421400000000001</v>
      </c>
      <c r="E13" s="26" t="s">
        <v>105</v>
      </c>
      <c r="F13" s="28"/>
      <c r="G13" s="28"/>
      <c r="H13" s="28"/>
      <c r="I13" s="28"/>
      <c r="J13" s="29" t="s">
        <v>110</v>
      </c>
    </row>
    <row r="14" spans="1:10" ht="8" customHeight="1" x14ac:dyDescent="0.45"/>
  </sheetData>
  <mergeCells count="1">
    <mergeCell ref="B6:J6"/>
  </mergeCells>
  <dataValidations count="1">
    <dataValidation type="decimal" operator="greaterThan" showErrorMessage="1" errorTitle="Positive value" error="Enter a value greater than zero." sqref="D13" xr:uid="{00000000-0002-0000-0100-000000000000}">
      <formula1>0</formula1>
    </dataValidation>
  </dataValidations>
  <hyperlinks>
    <hyperlink ref="B4" location="'About'!A1" display="◂  About" xr:uid="{00000000-0004-0000-0100-000000000000}"/>
    <hyperlink ref="J4" location="'History'!A1" display="Next:  History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J66"/>
  <sheetViews>
    <sheetView showGridLines="0" workbookViewId="0">
      <pane xSplit="2" ySplit="5" topLeftCell="C6" activePane="bottomRight" state="frozen"/>
      <selection pane="topRight"/>
      <selection pane="bottomLeft"/>
      <selection pane="bottomRight"/>
    </sheetView>
  </sheetViews>
  <sheetFormatPr defaultRowHeight="14.25" outlineLevelRow="1" x14ac:dyDescent="0.45"/>
  <cols>
    <col min="1" max="1" width="2" customWidth="1"/>
    <col min="2" max="2" width="9" customWidth="1"/>
    <col min="3" max="4" width="12" customWidth="1"/>
    <col min="5" max="5" width="13" customWidth="1"/>
    <col min="6" max="8" width="12" customWidth="1"/>
    <col min="9" max="9" width="2" customWidth="1"/>
    <col min="10" max="10" width="64"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111</v>
      </c>
      <c r="C3" s="1"/>
      <c r="D3" s="1"/>
      <c r="E3" s="1"/>
      <c r="F3" s="1"/>
      <c r="G3" s="1"/>
      <c r="H3" s="1"/>
      <c r="I3" s="1"/>
      <c r="J3" s="1"/>
    </row>
    <row r="4" spans="1:10" ht="20" customHeight="1" x14ac:dyDescent="0.45">
      <c r="A4" s="5"/>
      <c r="B4" s="22" t="s">
        <v>112</v>
      </c>
      <c r="C4" s="5"/>
      <c r="D4" s="5"/>
      <c r="E4" s="5"/>
      <c r="F4" s="5"/>
      <c r="G4" s="5"/>
      <c r="H4" s="5"/>
      <c r="I4" s="5"/>
      <c r="J4" s="6" t="s">
        <v>113</v>
      </c>
    </row>
    <row r="5" spans="1:10" ht="8" customHeight="1" x14ac:dyDescent="0.45"/>
    <row r="6" spans="1:10" ht="22.05" customHeight="1" x14ac:dyDescent="0.5">
      <c r="B6" s="7" t="s">
        <v>114</v>
      </c>
      <c r="C6" s="8"/>
      <c r="D6" s="8"/>
      <c r="E6" s="8"/>
      <c r="F6" s="8"/>
      <c r="G6" s="8"/>
      <c r="H6" s="8"/>
      <c r="I6" s="8"/>
      <c r="J6" s="8"/>
    </row>
    <row r="7" spans="1:10" ht="18" customHeight="1" x14ac:dyDescent="0.45">
      <c r="B7" s="13" t="s">
        <v>115</v>
      </c>
    </row>
    <row r="8" spans="1:10" ht="18" customHeight="1" x14ac:dyDescent="0.45">
      <c r="B8" s="30" t="s">
        <v>61</v>
      </c>
      <c r="C8" s="31" t="s">
        <v>116</v>
      </c>
      <c r="D8" s="31" t="s">
        <v>117</v>
      </c>
      <c r="E8" s="31" t="s">
        <v>118</v>
      </c>
      <c r="F8" s="31" t="s">
        <v>119</v>
      </c>
      <c r="G8" s="31" t="s">
        <v>120</v>
      </c>
      <c r="H8" s="31" t="s">
        <v>121</v>
      </c>
      <c r="I8" s="32"/>
      <c r="J8" s="30" t="s">
        <v>122</v>
      </c>
    </row>
    <row r="9" spans="1:10" x14ac:dyDescent="0.45">
      <c r="B9" s="33"/>
      <c r="C9" s="33"/>
      <c r="D9" s="33"/>
      <c r="E9" s="33" t="s">
        <v>123</v>
      </c>
      <c r="F9" s="33" t="s">
        <v>124</v>
      </c>
      <c r="G9" s="33"/>
      <c r="H9" s="33"/>
      <c r="I9" s="33"/>
      <c r="J9" s="33"/>
    </row>
    <row r="10" spans="1:10" x14ac:dyDescent="0.45">
      <c r="B10" s="34">
        <v>-15</v>
      </c>
      <c r="C10" s="35">
        <v>668</v>
      </c>
      <c r="D10" s="36">
        <f t="shared" ref="D10:D25" si="0">EXP(Beta0+Beta1*B10)</f>
        <v>780.7008172947684</v>
      </c>
      <c r="E10" s="37" cm="1">
        <f t="array" ref="E10">_xll.VosePolyaProb10(C10,1/PolyaH,D10*PolyaH,0)*LN(10)</f>
        <v>-6.6340345484195069</v>
      </c>
      <c r="F10" s="38">
        <f t="shared" ref="F10:F25" si="1">D10/(1+PolyaH*D10)</f>
        <v>5.6981712724504403</v>
      </c>
      <c r="G10" s="38">
        <f t="shared" ref="G10:G25" si="2">(C10-D10)/(1+PolyaH*D10)</f>
        <v>-0.82257959164946615</v>
      </c>
      <c r="H10" s="38">
        <f t="shared" ref="H10:H25" si="3">B10*G10</f>
        <v>12.338693874741992</v>
      </c>
      <c r="I10" s="28"/>
      <c r="J10" s="26" t="s">
        <v>125</v>
      </c>
    </row>
    <row r="11" spans="1:10" x14ac:dyDescent="0.45">
      <c r="B11" s="34">
        <v>-14</v>
      </c>
      <c r="C11" s="35">
        <v>486</v>
      </c>
      <c r="D11" s="36">
        <f t="shared" si="0"/>
        <v>804.03355228018825</v>
      </c>
      <c r="E11" s="37" cm="1">
        <f t="array" ref="E11">_xll.VosePolyaProb10(C11,1/PolyaH,D11*PolyaH,0)*LN(10)</f>
        <v>-6.8657957555291915</v>
      </c>
      <c r="F11" s="38">
        <f t="shared" si="1"/>
        <v>5.6993784463491819</v>
      </c>
      <c r="G11" s="38">
        <f t="shared" si="2"/>
        <v>-2.2543755393555034</v>
      </c>
      <c r="H11" s="38">
        <f t="shared" si="3"/>
        <v>31.561257550977047</v>
      </c>
      <c r="I11" s="28"/>
      <c r="J11" s="26" t="s">
        <v>126</v>
      </c>
    </row>
    <row r="12" spans="1:10" x14ac:dyDescent="0.45">
      <c r="B12" s="34">
        <v>-13</v>
      </c>
      <c r="C12" s="35">
        <v>658</v>
      </c>
      <c r="D12" s="36">
        <f t="shared" si="0"/>
        <v>828.06363061384013</v>
      </c>
      <c r="E12" s="37" cm="1">
        <f t="array" ref="E12">_xll.VosePolyaProb10(C12,1/PolyaH,D12*PolyaH,0)*LN(10)</f>
        <v>-6.692896109773713</v>
      </c>
      <c r="F12" s="38">
        <f t="shared" si="1"/>
        <v>5.7005510780777406</v>
      </c>
      <c r="G12" s="38">
        <f t="shared" si="2"/>
        <v>-1.1707511077607491</v>
      </c>
      <c r="H12" s="38">
        <f t="shared" si="3"/>
        <v>15.219764400889739</v>
      </c>
      <c r="I12" s="28"/>
      <c r="J12" s="26" t="s">
        <v>127</v>
      </c>
    </row>
    <row r="13" spans="1:10" x14ac:dyDescent="0.45">
      <c r="B13" s="34">
        <v>-12</v>
      </c>
      <c r="C13" s="35">
        <v>900</v>
      </c>
      <c r="D13" s="36">
        <f t="shared" si="0"/>
        <v>852.81189373354289</v>
      </c>
      <c r="E13" s="37" cm="1">
        <f t="array" ref="E13">_xll.VosePolyaProb10(C13,1/PolyaH,D13*PolyaH,0)*LN(10)</f>
        <v>-6.8737006950540973</v>
      </c>
      <c r="F13" s="38">
        <f t="shared" si="1"/>
        <v>5.7016901423210937</v>
      </c>
      <c r="G13" s="38">
        <f t="shared" si="2"/>
        <v>0.31548804878455738</v>
      </c>
      <c r="H13" s="38">
        <f t="shared" si="3"/>
        <v>-3.7858565854146886</v>
      </c>
      <c r="I13" s="28"/>
      <c r="J13" s="26" t="s">
        <v>128</v>
      </c>
    </row>
    <row r="14" spans="1:10" x14ac:dyDescent="0.45">
      <c r="B14" s="34">
        <v>-11</v>
      </c>
      <c r="C14" s="35">
        <v>1161</v>
      </c>
      <c r="D14" s="36">
        <f t="shared" si="0"/>
        <v>878.29980596328721</v>
      </c>
      <c r="E14" s="37" cm="1">
        <f t="array" ref="E14">_xll.VosePolyaProb10(C14,1/PolyaH,D14*PolyaH,0)*LN(10)</f>
        <v>-7.3635558637106016</v>
      </c>
      <c r="F14" s="38">
        <f t="shared" si="1"/>
        <v>5.7027965870405781</v>
      </c>
      <c r="G14" s="38">
        <f t="shared" si="2"/>
        <v>1.8355710553073534</v>
      </c>
      <c r="H14" s="38">
        <f t="shared" si="3"/>
        <v>-20.191281608380887</v>
      </c>
      <c r="I14" s="28"/>
      <c r="J14" s="26" t="s">
        <v>129</v>
      </c>
    </row>
    <row r="15" spans="1:10" x14ac:dyDescent="0.45">
      <c r="B15" s="34">
        <v>-10</v>
      </c>
      <c r="C15" s="35">
        <v>1833</v>
      </c>
      <c r="D15" s="36">
        <f t="shared" si="0"/>
        <v>904.54947312938441</v>
      </c>
      <c r="E15" s="37" cm="1">
        <f t="array" ref="E15">_xll.VosePolyaProb10(C15,1/PolyaH,D15*PolyaH,0)*LN(10)</f>
        <v>-9.4032475827634272</v>
      </c>
      <c r="F15" s="38">
        <f t="shared" si="1"/>
        <v>5.7038713341620983</v>
      </c>
      <c r="G15" s="38">
        <f t="shared" si="2"/>
        <v>5.8545856282285511</v>
      </c>
      <c r="H15" s="38">
        <f t="shared" si="3"/>
        <v>-58.545856282285513</v>
      </c>
      <c r="I15" s="28"/>
      <c r="J15" s="28"/>
    </row>
    <row r="16" spans="1:10" x14ac:dyDescent="0.45">
      <c r="B16" s="34">
        <v>-9</v>
      </c>
      <c r="C16" s="35">
        <v>905</v>
      </c>
      <c r="D16" s="36">
        <f t="shared" si="0"/>
        <v>931.58366173298134</v>
      </c>
      <c r="E16" s="37" cm="1">
        <f t="array" ref="E16">_xll.VosePolyaProb10(C16,1/PolyaH,D16*PolyaH,0)*LN(10)</f>
        <v>-6.8731709740440721</v>
      </c>
      <c r="F16" s="38">
        <f t="shared" si="1"/>
        <v>5.7049152802491818</v>
      </c>
      <c r="G16" s="38">
        <f t="shared" si="2"/>
        <v>-0.16279540341373022</v>
      </c>
      <c r="H16" s="38">
        <f t="shared" si="3"/>
        <v>1.465158630723572</v>
      </c>
      <c r="I16" s="28"/>
      <c r="J16" s="28"/>
    </row>
    <row r="17" spans="2:10" x14ac:dyDescent="0.45">
      <c r="B17" s="34">
        <v>-8</v>
      </c>
      <c r="C17" s="35">
        <v>1204</v>
      </c>
      <c r="D17" s="36">
        <f t="shared" si="0"/>
        <v>959.42581869559706</v>
      </c>
      <c r="E17" s="37" cm="1">
        <f t="array" ref="E17">_xll.VosePolyaProb10(C17,1/PolyaH,D17*PolyaH,0)*LN(10)</f>
        <v>-7.3144523608270475</v>
      </c>
      <c r="F17" s="38">
        <f t="shared" si="1"/>
        <v>5.7059292971610684</v>
      </c>
      <c r="G17" s="38">
        <f t="shared" si="2"/>
        <v>1.4545397457942935</v>
      </c>
      <c r="H17" s="38">
        <f t="shared" si="3"/>
        <v>-11.636317966354348</v>
      </c>
      <c r="I17" s="28"/>
      <c r="J17" s="28"/>
    </row>
    <row r="18" spans="2:10" x14ac:dyDescent="0.45">
      <c r="B18" s="34">
        <v>-7</v>
      </c>
      <c r="C18" s="35">
        <v>876</v>
      </c>
      <c r="D18" s="36">
        <f t="shared" si="0"/>
        <v>988.10009169477792</v>
      </c>
      <c r="E18" s="37" cm="1">
        <f t="array" ref="E18">_xll.VosePolyaProb10(C18,1/PolyaH,D18*PolyaH,0)*LN(10)</f>
        <v>-6.8780935715439711</v>
      </c>
      <c r="F18" s="38">
        <f t="shared" si="1"/>
        <v>5.7069142326960272</v>
      </c>
      <c r="G18" s="38">
        <f t="shared" si="2"/>
        <v>-0.6474502068734489</v>
      </c>
      <c r="H18" s="38">
        <f t="shared" si="3"/>
        <v>4.5321514481141421</v>
      </c>
      <c r="I18" s="28"/>
      <c r="J18" s="28"/>
    </row>
    <row r="19" spans="2:10" x14ac:dyDescent="0.45">
      <c r="B19" s="34">
        <v>-6</v>
      </c>
      <c r="C19" s="35">
        <v>383</v>
      </c>
      <c r="D19" s="36">
        <f t="shared" si="0"/>
        <v>1017.6313501075362</v>
      </c>
      <c r="E19" s="37" cm="1">
        <f t="array" ref="E19">_xll.VosePolyaProb10(C19,1/PolyaH,D19*PolyaH,0)*LN(10)</f>
        <v>-8.0280694403601984</v>
      </c>
      <c r="F19" s="38">
        <f t="shared" si="1"/>
        <v>5.7078709112200734</v>
      </c>
      <c r="G19" s="38">
        <f t="shared" si="2"/>
        <v>-3.5596326923736563</v>
      </c>
      <c r="H19" s="38">
        <f t="shared" si="3"/>
        <v>21.357796154241939</v>
      </c>
      <c r="I19" s="28"/>
      <c r="J19" s="28"/>
    </row>
    <row r="20" spans="2:10" x14ac:dyDescent="0.45">
      <c r="B20" s="34">
        <v>-5</v>
      </c>
      <c r="C20" s="35">
        <v>1408</v>
      </c>
      <c r="D20" s="36">
        <f t="shared" si="0"/>
        <v>1048.0452065797137</v>
      </c>
      <c r="E20" s="37" cm="1">
        <f t="array" ref="E20">_xll.VosePolyaProb10(C20,1/PolyaH,D20*PolyaH,0)*LN(10)</f>
        <v>-7.5870214889000209</v>
      </c>
      <c r="F20" s="38">
        <f t="shared" si="1"/>
        <v>5.7088001342813097</v>
      </c>
      <c r="G20" s="38">
        <f t="shared" si="2"/>
        <v>1.9607073818114313</v>
      </c>
      <c r="H20" s="38">
        <f t="shared" si="3"/>
        <v>-9.803536909057156</v>
      </c>
      <c r="I20" s="28"/>
      <c r="J20" s="28"/>
    </row>
    <row r="21" spans="2:10" x14ac:dyDescent="0.45">
      <c r="B21" s="34">
        <v>-4</v>
      </c>
      <c r="C21" s="35">
        <v>392</v>
      </c>
      <c r="D21" s="36">
        <f t="shared" si="0"/>
        <v>1079.3680392399888</v>
      </c>
      <c r="E21" s="37" cm="1">
        <f t="array" ref="E21">_xll.VosePolyaProb10(C21,1/PolyaH,D21*PolyaH,0)*LN(10)</f>
        <v>-8.1798599306388979</v>
      </c>
      <c r="F21" s="38">
        <f t="shared" si="1"/>
        <v>5.7097026812100795</v>
      </c>
      <c r="G21" s="38">
        <f t="shared" si="2"/>
        <v>-3.6360786997085253</v>
      </c>
      <c r="H21" s="38">
        <f t="shared" si="3"/>
        <v>14.544314798834101</v>
      </c>
      <c r="I21" s="28"/>
      <c r="J21" s="28"/>
    </row>
    <row r="22" spans="2:10" x14ac:dyDescent="0.45">
      <c r="B22" s="34">
        <v>-3</v>
      </c>
      <c r="C22" s="35">
        <v>716</v>
      </c>
      <c r="D22" s="36">
        <f t="shared" si="0"/>
        <v>1111.6270145777985</v>
      </c>
      <c r="E22" s="37" cm="1">
        <f t="array" ref="E22">_xll.VosePolyaProb10(C22,1/PolyaH,D22*PolyaH,0)*LN(10)</f>
        <v>-7.1166532810311338</v>
      </c>
      <c r="F22" s="38">
        <f t="shared" si="1"/>
        <v>5.7105793097051549</v>
      </c>
      <c r="G22" s="38">
        <f t="shared" si="2"/>
        <v>-2.0323898341625619</v>
      </c>
      <c r="H22" s="38">
        <f t="shared" si="3"/>
        <v>6.0971695024876862</v>
      </c>
      <c r="I22" s="28"/>
      <c r="J22" s="28"/>
    </row>
    <row r="23" spans="2:10" x14ac:dyDescent="0.45">
      <c r="B23" s="34">
        <v>-2</v>
      </c>
      <c r="C23" s="35">
        <v>1349</v>
      </c>
      <c r="D23" s="36">
        <f t="shared" si="0"/>
        <v>1144.8501110049974</v>
      </c>
      <c r="E23" s="37" cm="1">
        <f t="array" ref="E23">_xll.VosePolyaProb10(C23,1/PolyaH,D23*PolyaH,0)*LN(10)</f>
        <v>-7.3502450917103062</v>
      </c>
      <c r="F23" s="38">
        <f t="shared" si="1"/>
        <v>5.7114307564061786</v>
      </c>
      <c r="G23" s="38">
        <f t="shared" si="2"/>
        <v>1.0184634160531389</v>
      </c>
      <c r="H23" s="38">
        <f t="shared" si="3"/>
        <v>-2.0369268321062779</v>
      </c>
      <c r="I23" s="28"/>
      <c r="J23" s="28"/>
    </row>
    <row r="24" spans="2:10" x14ac:dyDescent="0.45">
      <c r="B24" s="34">
        <v>-1</v>
      </c>
      <c r="C24" s="35">
        <v>1409</v>
      </c>
      <c r="D24" s="36">
        <f t="shared" si="0"/>
        <v>1179.0661431217195</v>
      </c>
      <c r="E24" s="37" cm="1">
        <f t="array" ref="E24">_xll.VosePolyaProb10(C24,1/PolyaH,D24*PolyaH,0)*LN(10)</f>
        <v>-7.4086870054761258</v>
      </c>
      <c r="F24" s="38">
        <f t="shared" si="1"/>
        <v>5.7122577374525587</v>
      </c>
      <c r="G24" s="38">
        <f t="shared" si="2"/>
        <v>1.113967575710191</v>
      </c>
      <c r="H24" s="38">
        <f t="shared" si="3"/>
        <v>-1.113967575710191</v>
      </c>
      <c r="I24" s="28"/>
      <c r="J24" s="28"/>
    </row>
    <row r="25" spans="2:10" x14ac:dyDescent="0.45">
      <c r="B25" s="34">
        <v>0</v>
      </c>
      <c r="C25" s="35">
        <v>1370</v>
      </c>
      <c r="D25" s="36">
        <f t="shared" si="0"/>
        <v>1214.3047867074517</v>
      </c>
      <c r="E25" s="37" cm="1">
        <f t="array" ref="E25">_xll.VosePolyaProb10(C25,1/PolyaH,D25*PolyaH,0)*LN(10)</f>
        <v>-7.32766780782545</v>
      </c>
      <c r="F25" s="38">
        <f t="shared" si="1"/>
        <v>5.7130609490290718</v>
      </c>
      <c r="G25" s="38">
        <f t="shared" si="2"/>
        <v>0.73251481238433558</v>
      </c>
      <c r="H25" s="38">
        <f t="shared" si="3"/>
        <v>0</v>
      </c>
      <c r="I25" s="28"/>
      <c r="J25" s="28"/>
    </row>
    <row r="26" spans="2:10" x14ac:dyDescent="0.45">
      <c r="B26" s="39" t="s">
        <v>130</v>
      </c>
      <c r="C26" s="40"/>
      <c r="D26" s="40"/>
      <c r="E26" s="41">
        <f>SUM(E10:E25)</f>
        <v>-117.89715150760776</v>
      </c>
      <c r="F26" s="42">
        <f>SUM(F10:F25)</f>
        <v>91.29792014981183</v>
      </c>
      <c r="G26" s="43">
        <f>SUM(G10:G25)</f>
        <v>-2.1541122378854194E-4</v>
      </c>
      <c r="H26" s="43">
        <f>SUM(H10:H25)</f>
        <v>2.5626017011528557E-3</v>
      </c>
      <c r="I26" s="40"/>
      <c r="J26" s="44" t="s">
        <v>131</v>
      </c>
    </row>
    <row r="27" spans="2:10" ht="8" customHeight="1" x14ac:dyDescent="0.45"/>
    <row r="28" spans="2:10" ht="22.05" customHeight="1" x14ac:dyDescent="0.5">
      <c r="B28" s="7" t="s">
        <v>132</v>
      </c>
      <c r="C28" s="8"/>
      <c r="D28" s="8"/>
      <c r="E28" s="8"/>
      <c r="F28" s="8"/>
      <c r="G28" s="8"/>
      <c r="H28" s="8"/>
      <c r="I28" s="8"/>
      <c r="J28" s="8"/>
    </row>
    <row r="47" spans="2:4" hidden="1" outlineLevel="1" x14ac:dyDescent="0.45">
      <c r="B47" s="45" t="s">
        <v>61</v>
      </c>
      <c r="C47" s="45" t="s">
        <v>116</v>
      </c>
      <c r="D47" s="45" t="s">
        <v>133</v>
      </c>
    </row>
    <row r="48" spans="2:4" hidden="1" outlineLevel="1" x14ac:dyDescent="0.45">
      <c r="B48">
        <v>-15</v>
      </c>
      <c r="C48">
        <f t="shared" ref="C48:C63" si="4">C10</f>
        <v>668</v>
      </c>
      <c r="D48" s="46">
        <f t="shared" ref="D48:D66" si="5">EXP(Beta0+Beta1*B48)</f>
        <v>780.7008172947684</v>
      </c>
    </row>
    <row r="49" spans="2:4" hidden="1" outlineLevel="1" x14ac:dyDescent="0.45">
      <c r="B49">
        <v>-14</v>
      </c>
      <c r="C49">
        <f t="shared" si="4"/>
        <v>486</v>
      </c>
      <c r="D49" s="46">
        <f t="shared" si="5"/>
        <v>804.03355228018825</v>
      </c>
    </row>
    <row r="50" spans="2:4" hidden="1" outlineLevel="1" x14ac:dyDescent="0.45">
      <c r="B50">
        <v>-13</v>
      </c>
      <c r="C50">
        <f t="shared" si="4"/>
        <v>658</v>
      </c>
      <c r="D50" s="46">
        <f t="shared" si="5"/>
        <v>828.06363061384013</v>
      </c>
    </row>
    <row r="51" spans="2:4" hidden="1" outlineLevel="1" x14ac:dyDescent="0.45">
      <c r="B51">
        <v>-12</v>
      </c>
      <c r="C51">
        <f t="shared" si="4"/>
        <v>900</v>
      </c>
      <c r="D51" s="46">
        <f t="shared" si="5"/>
        <v>852.81189373354289</v>
      </c>
    </row>
    <row r="52" spans="2:4" hidden="1" outlineLevel="1" x14ac:dyDescent="0.45">
      <c r="B52">
        <v>-11</v>
      </c>
      <c r="C52">
        <f t="shared" si="4"/>
        <v>1161</v>
      </c>
      <c r="D52" s="46">
        <f t="shared" si="5"/>
        <v>878.29980596328721</v>
      </c>
    </row>
    <row r="53" spans="2:4" hidden="1" outlineLevel="1" x14ac:dyDescent="0.45">
      <c r="B53">
        <v>-10</v>
      </c>
      <c r="C53">
        <f t="shared" si="4"/>
        <v>1833</v>
      </c>
      <c r="D53" s="46">
        <f t="shared" si="5"/>
        <v>904.54947312938441</v>
      </c>
    </row>
    <row r="54" spans="2:4" hidden="1" outlineLevel="1" x14ac:dyDescent="0.45">
      <c r="B54">
        <v>-9</v>
      </c>
      <c r="C54">
        <f t="shared" si="4"/>
        <v>905</v>
      </c>
      <c r="D54" s="46">
        <f t="shared" si="5"/>
        <v>931.58366173298134</v>
      </c>
    </row>
    <row r="55" spans="2:4" hidden="1" outlineLevel="1" x14ac:dyDescent="0.45">
      <c r="B55">
        <v>-8</v>
      </c>
      <c r="C55">
        <f t="shared" si="4"/>
        <v>1204</v>
      </c>
      <c r="D55" s="46">
        <f t="shared" si="5"/>
        <v>959.42581869559706</v>
      </c>
    </row>
    <row r="56" spans="2:4" hidden="1" outlineLevel="1" x14ac:dyDescent="0.45">
      <c r="B56">
        <v>-7</v>
      </c>
      <c r="C56">
        <f t="shared" si="4"/>
        <v>876</v>
      </c>
      <c r="D56" s="46">
        <f t="shared" si="5"/>
        <v>988.10009169477792</v>
      </c>
    </row>
    <row r="57" spans="2:4" hidden="1" outlineLevel="1" x14ac:dyDescent="0.45">
      <c r="B57">
        <v>-6</v>
      </c>
      <c r="C57">
        <f t="shared" si="4"/>
        <v>383</v>
      </c>
      <c r="D57" s="46">
        <f t="shared" si="5"/>
        <v>1017.6313501075362</v>
      </c>
    </row>
    <row r="58" spans="2:4" hidden="1" outlineLevel="1" x14ac:dyDescent="0.45">
      <c r="B58">
        <v>-5</v>
      </c>
      <c r="C58">
        <f t="shared" si="4"/>
        <v>1408</v>
      </c>
      <c r="D58" s="46">
        <f t="shared" si="5"/>
        <v>1048.0452065797137</v>
      </c>
    </row>
    <row r="59" spans="2:4" hidden="1" outlineLevel="1" x14ac:dyDescent="0.45">
      <c r="B59">
        <v>-4</v>
      </c>
      <c r="C59">
        <f t="shared" si="4"/>
        <v>392</v>
      </c>
      <c r="D59" s="46">
        <f t="shared" si="5"/>
        <v>1079.3680392399888</v>
      </c>
    </row>
    <row r="60" spans="2:4" hidden="1" outlineLevel="1" x14ac:dyDescent="0.45">
      <c r="B60">
        <v>-3</v>
      </c>
      <c r="C60">
        <f t="shared" si="4"/>
        <v>716</v>
      </c>
      <c r="D60" s="46">
        <f t="shared" si="5"/>
        <v>1111.6270145777985</v>
      </c>
    </row>
    <row r="61" spans="2:4" hidden="1" outlineLevel="1" x14ac:dyDescent="0.45">
      <c r="B61">
        <v>-2</v>
      </c>
      <c r="C61">
        <f t="shared" si="4"/>
        <v>1349</v>
      </c>
      <c r="D61" s="46">
        <f t="shared" si="5"/>
        <v>1144.8501110049974</v>
      </c>
    </row>
    <row r="62" spans="2:4" hidden="1" outlineLevel="1" x14ac:dyDescent="0.45">
      <c r="B62">
        <v>-1</v>
      </c>
      <c r="C62">
        <f t="shared" si="4"/>
        <v>1409</v>
      </c>
      <c r="D62" s="46">
        <f t="shared" si="5"/>
        <v>1179.0661431217195</v>
      </c>
    </row>
    <row r="63" spans="2:4" hidden="1" outlineLevel="1" x14ac:dyDescent="0.45">
      <c r="B63">
        <v>0</v>
      </c>
      <c r="C63">
        <f t="shared" si="4"/>
        <v>1370</v>
      </c>
      <c r="D63" s="46">
        <f t="shared" si="5"/>
        <v>1214.3047867074517</v>
      </c>
    </row>
    <row r="64" spans="2:4" hidden="1" outlineLevel="1" x14ac:dyDescent="0.45">
      <c r="B64">
        <v>1</v>
      </c>
      <c r="D64" s="46">
        <f t="shared" si="5"/>
        <v>1250.5966044590323</v>
      </c>
    </row>
    <row r="65" spans="2:4" hidden="1" outlineLevel="1" x14ac:dyDescent="0.45">
      <c r="B65">
        <v>2</v>
      </c>
      <c r="D65" s="46">
        <f t="shared" si="5"/>
        <v>1287.973072497866</v>
      </c>
    </row>
    <row r="66" spans="2:4" hidden="1" outlineLevel="1" x14ac:dyDescent="0.45">
      <c r="B66">
        <v>3</v>
      </c>
      <c r="D66" s="46">
        <f t="shared" si="5"/>
        <v>1326.4666076693593</v>
      </c>
    </row>
  </sheetData>
  <dataValidations count="1">
    <dataValidation type="decimal" operator="greaterThan" showErrorMessage="1" errorTitle="Accidents" error="Enter a count of 0 or more." sqref="C10:C25" xr:uid="{00000000-0002-0000-0200-000000000000}">
      <formula1>0</formula1>
    </dataValidation>
  </dataValidations>
  <hyperlinks>
    <hyperlink ref="B4" location="'Inputs'!A1" display="◂  Inputs" xr:uid="{00000000-0004-0000-0200-000000000000}"/>
    <hyperlink ref="J4" location="'Forecast'!A1" display="Next:  Forecast  ▸" xr:uid="{00000000-0004-0000-0200-000001000000}"/>
  </hyperlinks>
  <printOptions horizontalCentered="1"/>
  <pageMargins left="0.4" right="0.4" top="0.5" bottom="0.6" header="0.25" footer="0.25"/>
  <pageSetup paperSize="9" scale="92" fitToHeight="0" orientation="landscape" r:id="rId1"/>
  <headerFooter>
    <oddFooter>&amp;L&amp;K3F5876&amp;8&amp;F · &amp;A&amp;R&amp;K3F5876&amp;8Page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H41"/>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40" customWidth="1"/>
    <col min="3" max="6" width="13" customWidth="1"/>
    <col min="7" max="7" width="2" customWidth="1"/>
    <col min="8" max="8" width="62"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134</v>
      </c>
      <c r="C3" s="1"/>
      <c r="D3" s="1"/>
      <c r="E3" s="1"/>
      <c r="F3" s="1"/>
      <c r="G3" s="1"/>
      <c r="H3" s="1"/>
    </row>
    <row r="4" spans="1:8" ht="20" customHeight="1" x14ac:dyDescent="0.45">
      <c r="A4" s="5"/>
      <c r="B4" s="22" t="s">
        <v>135</v>
      </c>
      <c r="C4" s="5"/>
      <c r="D4" s="5"/>
      <c r="E4" s="5"/>
      <c r="F4" s="5"/>
      <c r="G4" s="5"/>
      <c r="H4" s="6" t="s">
        <v>136</v>
      </c>
    </row>
    <row r="5" spans="1:8" ht="8" customHeight="1" x14ac:dyDescent="0.45"/>
    <row r="6" spans="1:8" ht="22.05" customHeight="1" x14ac:dyDescent="0.5">
      <c r="B6" s="7" t="s">
        <v>137</v>
      </c>
      <c r="C6" s="8"/>
      <c r="D6" s="8"/>
      <c r="E6" s="8"/>
      <c r="F6" s="8"/>
      <c r="G6" s="8"/>
      <c r="H6" s="8"/>
    </row>
    <row r="7" spans="1:8" ht="18" customHeight="1" x14ac:dyDescent="0.45">
      <c r="B7" s="13" t="s">
        <v>138</v>
      </c>
    </row>
    <row r="8" spans="1:8" x14ac:dyDescent="0.45">
      <c r="B8" s="25" t="s">
        <v>139</v>
      </c>
      <c r="C8" s="26"/>
      <c r="D8" s="47">
        <f>SUM(Wt)</f>
        <v>91.29792014981183</v>
      </c>
      <c r="E8" s="28"/>
      <c r="F8" s="28"/>
      <c r="G8" s="28"/>
      <c r="H8" s="26" t="s">
        <v>140</v>
      </c>
    </row>
    <row r="9" spans="1:8" x14ac:dyDescent="0.45">
      <c r="B9" s="25" t="s">
        <v>141</v>
      </c>
      <c r="C9" s="26"/>
      <c r="D9" s="47">
        <f>SUMPRODUCT(Wt,Yr)</f>
        <v>-684.39775442892721</v>
      </c>
      <c r="E9" s="28"/>
      <c r="F9" s="28"/>
      <c r="G9" s="28"/>
      <c r="H9" s="28"/>
    </row>
    <row r="10" spans="1:8" x14ac:dyDescent="0.45">
      <c r="B10" s="25" t="s">
        <v>142</v>
      </c>
      <c r="C10" s="26"/>
      <c r="D10" s="47">
        <f>SUMPRODUCT(Wt,Yr,Yr)</f>
        <v>7070.4569486546216</v>
      </c>
      <c r="E10" s="28"/>
      <c r="F10" s="28"/>
      <c r="G10" s="28"/>
      <c r="H10" s="28"/>
    </row>
    <row r="11" spans="1:8" x14ac:dyDescent="0.45">
      <c r="B11" s="25" t="s">
        <v>143</v>
      </c>
      <c r="C11" s="26"/>
      <c r="D11" s="36">
        <f>Inf_00*Inf_11-Inf_01^2</f>
        <v>177117.7276535937</v>
      </c>
      <c r="E11" s="28"/>
      <c r="F11" s="28"/>
      <c r="G11" s="28"/>
      <c r="H11" s="28"/>
    </row>
    <row r="12" spans="1:8" x14ac:dyDescent="0.45">
      <c r="B12" s="25" t="s">
        <v>144</v>
      </c>
      <c r="C12" s="26"/>
      <c r="D12" s="48">
        <f>Inf_11/Det_I</f>
        <v>3.9919532857168309E-2</v>
      </c>
      <c r="E12" s="28"/>
      <c r="F12" s="28"/>
      <c r="G12" s="28"/>
      <c r="H12" s="26" t="s">
        <v>145</v>
      </c>
    </row>
    <row r="13" spans="1:8" x14ac:dyDescent="0.45">
      <c r="B13" s="25" t="s">
        <v>146</v>
      </c>
      <c r="C13" s="26"/>
      <c r="D13" s="48">
        <f>-Inf_01/Det_I</f>
        <v>3.8640838695010258E-3</v>
      </c>
      <c r="E13" s="28"/>
      <c r="F13" s="28"/>
      <c r="G13" s="28"/>
      <c r="H13" s="28"/>
    </row>
    <row r="14" spans="1:8" x14ac:dyDescent="0.45">
      <c r="B14" s="25" t="s">
        <v>147</v>
      </c>
      <c r="C14" s="26"/>
      <c r="D14" s="48">
        <f>Inf_00/Det_I</f>
        <v>5.1546460853637427E-4</v>
      </c>
      <c r="E14" s="28"/>
      <c r="F14" s="28"/>
      <c r="G14" s="28"/>
      <c r="H14" s="28"/>
    </row>
    <row r="15" spans="1:8" x14ac:dyDescent="0.45">
      <c r="B15" s="25" t="s">
        <v>148</v>
      </c>
      <c r="C15" s="26"/>
      <c r="D15" s="49">
        <f>SQRT(Var_b0)</f>
        <v>0.1997987308697638</v>
      </c>
      <c r="E15" s="28"/>
      <c r="F15" s="28"/>
      <c r="G15" s="28"/>
      <c r="H15" s="28"/>
    </row>
    <row r="16" spans="1:8" x14ac:dyDescent="0.45">
      <c r="B16" s="25" t="s">
        <v>149</v>
      </c>
      <c r="C16" s="26"/>
      <c r="D16" s="49">
        <f>SQRT(Var_b1)</f>
        <v>2.2703845677249798E-2</v>
      </c>
      <c r="E16" s="28"/>
      <c r="F16" s="28"/>
      <c r="G16" s="28"/>
      <c r="H16" s="26" t="s">
        <v>150</v>
      </c>
    </row>
    <row r="17" spans="2:8" x14ac:dyDescent="0.45">
      <c r="B17" s="25" t="s">
        <v>151</v>
      </c>
      <c r="C17" s="26"/>
      <c r="D17" s="37">
        <f>Cov_b01/SQRT(Var_b0*Var_b1)</f>
        <v>0.85183286693068305</v>
      </c>
      <c r="E17" s="28"/>
      <c r="F17" s="28"/>
      <c r="G17" s="28"/>
      <c r="H17" s="28"/>
    </row>
    <row r="18" spans="2:8" x14ac:dyDescent="0.45">
      <c r="B18" s="25" t="s">
        <v>152</v>
      </c>
      <c r="C18" s="26"/>
      <c r="D18" s="48">
        <f>SQRT(Var_b0)</f>
        <v>0.1997987308697638</v>
      </c>
      <c r="E18" s="28"/>
      <c r="F18" s="28"/>
      <c r="G18" s="28"/>
      <c r="H18" s="26" t="s">
        <v>153</v>
      </c>
    </row>
    <row r="19" spans="2:8" x14ac:dyDescent="0.45">
      <c r="B19" s="25" t="s">
        <v>154</v>
      </c>
      <c r="C19" s="26"/>
      <c r="D19" s="48">
        <f>Cov_b01/Ch_a</f>
        <v>1.9339881953603491E-2</v>
      </c>
      <c r="E19" s="28"/>
      <c r="F19" s="28"/>
      <c r="G19" s="28"/>
      <c r="H19" s="26" t="s">
        <v>155</v>
      </c>
    </row>
    <row r="20" spans="2:8" x14ac:dyDescent="0.45">
      <c r="B20" s="25" t="s">
        <v>156</v>
      </c>
      <c r="C20" s="26"/>
      <c r="D20" s="48">
        <f>SQRT(Var_b1-Ch_b^2)</f>
        <v>1.1892584855995616E-2</v>
      </c>
      <c r="E20" s="28"/>
      <c r="F20" s="28"/>
      <c r="G20" s="28"/>
      <c r="H20" s="28"/>
    </row>
    <row r="21" spans="2:8" ht="8" customHeight="1" x14ac:dyDescent="0.45"/>
    <row r="22" spans="2:8" ht="22.05" customHeight="1" x14ac:dyDescent="0.5">
      <c r="B22" s="7" t="s">
        <v>157</v>
      </c>
      <c r="C22" s="8"/>
      <c r="D22" s="8"/>
      <c r="E22" s="8"/>
      <c r="F22" s="8"/>
      <c r="G22" s="8"/>
      <c r="H22" s="8"/>
    </row>
    <row r="23" spans="2:8" ht="18" customHeight="1" x14ac:dyDescent="0.45">
      <c r="B23" s="13" t="s">
        <v>158</v>
      </c>
    </row>
    <row r="24" spans="2:8" x14ac:dyDescent="0.45">
      <c r="B24" s="25" t="s">
        <v>159</v>
      </c>
      <c r="C24" s="26"/>
      <c r="D24" s="50" cm="1">
        <f t="array" aca="1" ref="D24" ca="1">_xll.VoseNormal(0,1)</f>
        <v>-0.94937358116083503</v>
      </c>
      <c r="E24" s="28"/>
      <c r="F24" s="28"/>
      <c r="G24" s="28"/>
      <c r="H24" s="26" t="s">
        <v>160</v>
      </c>
    </row>
    <row r="25" spans="2:8" x14ac:dyDescent="0.45">
      <c r="B25" s="25" t="s">
        <v>161</v>
      </c>
      <c r="C25" s="26"/>
      <c r="D25" s="50" cm="1">
        <f t="array" aca="1" ref="D25" ca="1">_xll.VoseNormal(0,1)</f>
        <v>-0.61227768853409481</v>
      </c>
      <c r="E25" s="28"/>
      <c r="F25" s="28"/>
      <c r="G25" s="28"/>
      <c r="H25" s="28"/>
    </row>
    <row r="26" spans="2:8" x14ac:dyDescent="0.45">
      <c r="B26" s="25" t="s">
        <v>162</v>
      </c>
      <c r="C26" s="26"/>
      <c r="D26" s="51">
        <f ca="1">Beta0+Ch_a*Draw_1</f>
        <v>6.9122433633627827</v>
      </c>
      <c r="E26" s="28"/>
      <c r="F26" s="28"/>
      <c r="G26" s="28"/>
      <c r="H26" s="26" t="s">
        <v>163</v>
      </c>
    </row>
    <row r="27" spans="2:8" x14ac:dyDescent="0.45">
      <c r="B27" s="25" t="s">
        <v>164</v>
      </c>
      <c r="C27" s="26"/>
      <c r="D27" s="51">
        <f ca="1">Beta1+Ch_b*Draw_1+Ch_c*Draw_2</f>
        <v>3.806662644155071E-3</v>
      </c>
      <c r="E27" s="28"/>
      <c r="F27" s="28"/>
      <c r="G27" s="28"/>
      <c r="H27" s="26" t="s">
        <v>165</v>
      </c>
    </row>
    <row r="28" spans="2:8" ht="8" customHeight="1" x14ac:dyDescent="0.45"/>
    <row r="29" spans="2:8" ht="22.05" customHeight="1" x14ac:dyDescent="0.5">
      <c r="B29" s="7" t="s">
        <v>166</v>
      </c>
      <c r="C29" s="8"/>
      <c r="D29" s="8"/>
      <c r="E29" s="8"/>
      <c r="F29" s="8"/>
      <c r="G29" s="8"/>
      <c r="H29" s="8"/>
    </row>
    <row r="30" spans="2:8" ht="18" customHeight="1" x14ac:dyDescent="0.45">
      <c r="B30" s="13" t="s">
        <v>167</v>
      </c>
    </row>
    <row r="31" spans="2:8" ht="30" customHeight="1" x14ac:dyDescent="0.45">
      <c r="B31" s="52" t="s">
        <v>61</v>
      </c>
      <c r="C31" s="53" t="s">
        <v>168</v>
      </c>
      <c r="D31" s="53" t="s">
        <v>169</v>
      </c>
      <c r="E31" s="53" t="s">
        <v>170</v>
      </c>
      <c r="F31" s="53" t="s">
        <v>171</v>
      </c>
      <c r="G31" s="32"/>
      <c r="H31" s="52" t="s">
        <v>122</v>
      </c>
    </row>
    <row r="32" spans="2:8" x14ac:dyDescent="0.45">
      <c r="B32" s="33"/>
      <c r="C32" s="33" t="s">
        <v>172</v>
      </c>
      <c r="D32" s="33" t="s">
        <v>173</v>
      </c>
      <c r="E32" s="33" t="s">
        <v>172</v>
      </c>
      <c r="F32" s="33" t="s">
        <v>173</v>
      </c>
      <c r="G32" s="33"/>
      <c r="H32" s="33"/>
    </row>
    <row r="33" spans="2:8" x14ac:dyDescent="0.45">
      <c r="B33" s="34">
        <v>1</v>
      </c>
      <c r="C33" s="36">
        <f>EXP(Beta0+Beta1*B33)</f>
        <v>1250.5966044590323</v>
      </c>
      <c r="D33" s="54" cm="1">
        <f t="array" aca="1" ref="D33" ca="1">_xll.VoseOutput("Year 1","accidents","Accidents, fitted parameters",1)+_xll.VosePolya(1/PolyaH,C33*PolyaH)</f>
        <v>844</v>
      </c>
      <c r="E33" s="36">
        <f ca="1">EXP(B0u+B1u*B33)</f>
        <v>1008.3292437534826</v>
      </c>
      <c r="F33" s="54" cm="1">
        <f t="array" aca="1" ref="F33" ca="1">_xll.VoseOutput("Year 1","accidents","Accidents, parameter uncertainty",1)+_xll.VosePolya(1/PolyaH,E33*PolyaH)</f>
        <v>663</v>
      </c>
      <c r="G33" s="28"/>
      <c r="H33" s="26" t="s">
        <v>174</v>
      </c>
    </row>
    <row r="34" spans="2:8" x14ac:dyDescent="0.45">
      <c r="B34" s="34">
        <v>2</v>
      </c>
      <c r="C34" s="36">
        <f>EXP(Beta0+Beta1*B34)</f>
        <v>1287.973072497866</v>
      </c>
      <c r="D34" s="54" cm="1">
        <f t="array" aca="1" ref="D34" ca="1">_xll.VoseOutput("Year 2","accidents","Accidents, fitted parameters",2)+_xll.VosePolya(1/PolyaH,C34*PolyaH)</f>
        <v>2189</v>
      </c>
      <c r="E34" s="36">
        <f ca="1">EXP(B0u+B1u*B34)</f>
        <v>1012.1749279860626</v>
      </c>
      <c r="F34" s="54" cm="1">
        <f t="array" aca="1" ref="F34" ca="1">_xll.VoseOutput("Year 2","accidents","Accidents, parameter uncertainty",2)+_xll.VosePolya(1/PolyaH,E34*PolyaH)</f>
        <v>860</v>
      </c>
      <c r="G34" s="28"/>
      <c r="H34" s="26" t="s">
        <v>175</v>
      </c>
    </row>
    <row r="35" spans="2:8" x14ac:dyDescent="0.45">
      <c r="B35" s="34">
        <v>3</v>
      </c>
      <c r="C35" s="36">
        <f>EXP(Beta0+Beta1*B35)</f>
        <v>1326.4666076693593</v>
      </c>
      <c r="D35" s="54" cm="1">
        <f t="array" aca="1" ref="D35" ca="1">_xll.VoseOutput("Year 3","accidents","Accidents, fitted parameters",3)+_xll.VosePolya(1/PolyaH,C35*PolyaH)</f>
        <v>1378</v>
      </c>
      <c r="E35" s="36">
        <f ca="1">EXP(B0u+B1u*B35)</f>
        <v>1016.0352793398308</v>
      </c>
      <c r="F35" s="54" cm="1">
        <f t="array" aca="1" ref="F35" ca="1">_xll.VoseOutput("Year 3","accidents","Accidents, parameter uncertainty",3)+_xll.VosePolya(1/PolyaH,E35*PolyaH)</f>
        <v>1404</v>
      </c>
      <c r="G35" s="28"/>
      <c r="H35" s="26" t="s">
        <v>176</v>
      </c>
    </row>
    <row r="36" spans="2:8" ht="8" customHeight="1" x14ac:dyDescent="0.45"/>
    <row r="37" spans="2:8" ht="22.05" customHeight="1" x14ac:dyDescent="0.5">
      <c r="B37" s="7" t="s">
        <v>177</v>
      </c>
      <c r="C37" s="8"/>
      <c r="D37" s="8"/>
      <c r="E37" s="8"/>
      <c r="F37" s="8"/>
      <c r="G37" s="8"/>
      <c r="H37" s="8"/>
    </row>
    <row r="38" spans="2:8" ht="18" customHeight="1" x14ac:dyDescent="0.45">
      <c r="B38" s="13" t="s">
        <v>178</v>
      </c>
    </row>
    <row r="39" spans="2:8" x14ac:dyDescent="0.45">
      <c r="B39" s="25" t="s">
        <v>179</v>
      </c>
      <c r="C39" s="28"/>
      <c r="D39" s="55" t="str">
        <f>IF(AND(ABS(Score0)&lt;0.05,ABS(Score1)&lt;0.5),"OK","CHECK")</f>
        <v>OK</v>
      </c>
      <c r="E39" s="28"/>
      <c r="F39" s="28"/>
      <c r="G39" s="28"/>
      <c r="H39" s="28"/>
    </row>
    <row r="40" spans="2:8" x14ac:dyDescent="0.45">
      <c r="B40" s="25" t="s">
        <v>180</v>
      </c>
      <c r="C40" s="28"/>
      <c r="D40" s="55" t="str">
        <f>IF(PolyaH&gt;0,"OK","CHECK")</f>
        <v>OK</v>
      </c>
      <c r="E40" s="28"/>
      <c r="F40" s="28"/>
      <c r="G40" s="28"/>
      <c r="H40" s="28"/>
    </row>
    <row r="41" spans="2:8" ht="14" customHeight="1" x14ac:dyDescent="0.45"/>
  </sheetData>
  <conditionalFormatting sqref="D39:D40">
    <cfRule type="expression" dxfId="3" priority="1">
      <formula>D39="CHECK"</formula>
    </cfRule>
  </conditionalFormatting>
  <hyperlinks>
    <hyperlink ref="B4" location="'History'!A1" display="◂  History" xr:uid="{00000000-0004-0000-0300-000000000000}"/>
    <hyperlink ref="H4" location="'Results'!A1" display="Next:  Results  ▸" xr:uid="{00000000-0004-0000-0300-000001000000}"/>
  </hyperlinks>
  <printOptions horizontalCentered="1"/>
  <pageMargins left="0.4" right="0.4" top="0.5" bottom="0.6" header="0.25" footer="0.25"/>
  <pageSetup paperSize="9" scale="87" fitToHeight="0" orientation="landscape" r:id="rId1"/>
  <headerFooter>
    <oddFooter>&amp;L&amp;K3F5876&amp;8&amp;F · &amp;A&amp;R&amp;K3F5876&amp;8Page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88"/>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181</v>
      </c>
      <c r="C3" s="1"/>
      <c r="D3" s="1"/>
      <c r="E3" s="1"/>
      <c r="F3" s="1"/>
      <c r="G3" s="1"/>
      <c r="H3" s="1"/>
      <c r="I3" s="1"/>
      <c r="J3" s="1"/>
      <c r="K3" s="1"/>
      <c r="L3" s="1"/>
      <c r="M3" s="1"/>
      <c r="N3" s="1"/>
      <c r="O3" s="1"/>
      <c r="P3" s="1"/>
      <c r="Q3" s="1"/>
      <c r="R3" s="1"/>
    </row>
    <row r="4" spans="1:18" ht="20" customHeight="1" x14ac:dyDescent="0.45">
      <c r="A4" s="5"/>
      <c r="B4" s="22" t="s">
        <v>182</v>
      </c>
      <c r="C4" s="5"/>
      <c r="D4" s="5"/>
      <c r="E4" s="5"/>
      <c r="F4" s="5"/>
      <c r="G4" s="5"/>
      <c r="H4" s="5"/>
      <c r="I4" s="5"/>
      <c r="J4" s="5"/>
      <c r="K4" s="5"/>
      <c r="L4" s="5"/>
      <c r="M4" s="5"/>
      <c r="N4" s="5"/>
      <c r="O4" s="5"/>
      <c r="P4" s="5"/>
      <c r="Q4" s="5"/>
      <c r="R4" s="5"/>
    </row>
    <row r="5" spans="1:18" ht="8" customHeight="1" x14ac:dyDescent="0.45"/>
    <row r="6" spans="1:18" ht="26" customHeight="1" x14ac:dyDescent="0.45">
      <c r="B6" s="56" t="str" cm="1">
        <f t="array" aca="1" ref="B6" ca="1">IF(ISNUMBER(_xll.VoseSimMean(Unc_3)),"✔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7"/>
      <c r="D6" s="57"/>
      <c r="E6" s="57"/>
      <c r="F6" s="57"/>
      <c r="G6" s="57"/>
    </row>
    <row r="7" spans="1:18" x14ac:dyDescent="0.45">
      <c r="B7" s="5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183</v>
      </c>
      <c r="C9" s="8"/>
      <c r="D9" s="8"/>
      <c r="E9" s="8"/>
      <c r="F9" s="8"/>
      <c r="G9" s="8"/>
      <c r="I9" s="59" t="s">
        <v>184</v>
      </c>
      <c r="J9" s="8"/>
      <c r="K9" s="8"/>
      <c r="L9" s="8"/>
      <c r="M9" s="8"/>
      <c r="N9" s="8"/>
      <c r="O9" s="8"/>
      <c r="P9" s="8"/>
      <c r="Q9" s="8"/>
      <c r="R9" s="8"/>
    </row>
    <row r="10" spans="1:18" ht="18" customHeight="1" x14ac:dyDescent="0.45">
      <c r="B10" s="13" t="s">
        <v>185</v>
      </c>
    </row>
    <row r="11" spans="1:18" ht="18" customHeight="1" x14ac:dyDescent="0.45">
      <c r="B11" s="23" t="s">
        <v>186</v>
      </c>
      <c r="C11" s="23" t="s">
        <v>100</v>
      </c>
      <c r="D11" s="24" t="s">
        <v>187</v>
      </c>
      <c r="E11" s="24" t="s">
        <v>188</v>
      </c>
      <c r="F11" s="24" t="s">
        <v>189</v>
      </c>
      <c r="G11" s="24" t="s">
        <v>190</v>
      </c>
    </row>
    <row r="12" spans="1:18" x14ac:dyDescent="0.45">
      <c r="B12" s="25" t="s">
        <v>191</v>
      </c>
      <c r="C12" s="26" t="s">
        <v>192</v>
      </c>
      <c r="D12" s="60" cm="1">
        <f t="array" aca="1" ref="D12" ca="1">_xll.VoseSimPercentile(Fit_1,0.1)</f>
        <v>652</v>
      </c>
      <c r="E12" s="60" cm="1">
        <f t="array" aca="1" ref="E12" ca="1">_xll.VoseSimPercentile(Fit_1,0.5)</f>
        <v>1183</v>
      </c>
      <c r="F12" s="60" cm="1">
        <f t="array" aca="1" ref="F12" ca="1">_xll.VoseSimPercentile(Fit_1,0.9)</f>
        <v>1939</v>
      </c>
      <c r="G12" s="60" cm="1">
        <f t="array" aca="1" ref="G12" ca="1">_xll.VoseSimMean(Fit_1)</f>
        <v>1253.2596000000001</v>
      </c>
    </row>
    <row r="13" spans="1:18" x14ac:dyDescent="0.45">
      <c r="B13" s="25" t="s">
        <v>193</v>
      </c>
      <c r="C13" s="26" t="s">
        <v>192</v>
      </c>
      <c r="D13" s="60" cm="1">
        <f t="array" aca="1" ref="D13" ca="1">_xll.VoseSimPercentile(Unc_1,0.1)</f>
        <v>596</v>
      </c>
      <c r="E13" s="60" cm="1">
        <f t="array" aca="1" ref="E13" ca="1">_xll.VoseSimPercentile(Unc_1,0.5)</f>
        <v>1170</v>
      </c>
      <c r="F13" s="60" cm="1">
        <f t="array" aca="1" ref="F13" ca="1">_xll.VoseSimPercentile(Unc_1,0.9)</f>
        <v>2122</v>
      </c>
      <c r="G13" s="60" cm="1">
        <f t="array" aca="1" ref="G13" ca="1">_xll.VoseSimMean(Unc_1)</f>
        <v>1286.8947000000001</v>
      </c>
    </row>
    <row r="14" spans="1:18" x14ac:dyDescent="0.45">
      <c r="B14" s="25" t="s">
        <v>194</v>
      </c>
      <c r="C14" s="26" t="s">
        <v>192</v>
      </c>
      <c r="D14" s="60" cm="1">
        <f t="array" aca="1" ref="D14" ca="1">_xll.VoseSimPercentile(Fit_2,0.1)</f>
        <v>662</v>
      </c>
      <c r="E14" s="60" cm="1">
        <f t="array" aca="1" ref="E14" ca="1">_xll.VoseSimPercentile(Fit_2,0.5)</f>
        <v>1222</v>
      </c>
      <c r="F14" s="60" cm="1">
        <f t="array" aca="1" ref="F14" ca="1">_xll.VoseSimPercentile(Fit_2,0.9)</f>
        <v>2002</v>
      </c>
      <c r="G14" s="60" cm="1">
        <f t="array" aca="1" ref="G14" ca="1">_xll.VoseSimMean(Fit_2)</f>
        <v>1292.3385000000001</v>
      </c>
    </row>
    <row r="15" spans="1:18" x14ac:dyDescent="0.45">
      <c r="B15" s="25" t="s">
        <v>195</v>
      </c>
      <c r="C15" s="26" t="s">
        <v>192</v>
      </c>
      <c r="D15" s="60" cm="1">
        <f t="array" aca="1" ref="D15" ca="1">_xll.VoseSimPercentile(Unc_2,0.1)</f>
        <v>616</v>
      </c>
      <c r="E15" s="60" cm="1">
        <f t="array" aca="1" ref="E15" ca="1">_xll.VoseSimPercentile(Unc_2,0.5)</f>
        <v>1216</v>
      </c>
      <c r="F15" s="60" cm="1">
        <f t="array" aca="1" ref="F15" ca="1">_xll.VoseSimPercentile(Unc_2,0.9)</f>
        <v>2189</v>
      </c>
      <c r="G15" s="60" cm="1">
        <f t="array" aca="1" ref="G15" ca="1">_xll.VoseSimMean(Unc_2)</f>
        <v>1335.5730000000001</v>
      </c>
    </row>
    <row r="16" spans="1:18" x14ac:dyDescent="0.45">
      <c r="B16" s="25" t="s">
        <v>196</v>
      </c>
      <c r="C16" s="26" t="s">
        <v>192</v>
      </c>
      <c r="D16" s="60" cm="1">
        <f t="array" aca="1" ref="D16" ca="1">_xll.VoseSimPercentile(Fit_3,0.1)</f>
        <v>696</v>
      </c>
      <c r="E16" s="60" cm="1">
        <f t="array" aca="1" ref="E16" ca="1">_xll.VoseSimPercentile(Fit_3,0.5)</f>
        <v>1253</v>
      </c>
      <c r="F16" s="60" cm="1">
        <f t="array" aca="1" ref="F16" ca="1">_xll.VoseSimPercentile(Fit_3,0.9)</f>
        <v>2073</v>
      </c>
      <c r="G16" s="60" cm="1">
        <f t="array" aca="1" ref="G16" ca="1">_xll.VoseSimMean(Fit_3)</f>
        <v>1329.83</v>
      </c>
    </row>
    <row r="17" spans="2:7" x14ac:dyDescent="0.45">
      <c r="B17" s="25" t="s">
        <v>197</v>
      </c>
      <c r="C17" s="26" t="s">
        <v>192</v>
      </c>
      <c r="D17" s="60" cm="1">
        <f t="array" aca="1" ref="D17" ca="1">_xll.VoseSimPercentile(Unc_3,0.1)</f>
        <v>614</v>
      </c>
      <c r="E17" s="60" cm="1">
        <f t="array" aca="1" ref="E17" ca="1">_xll.VoseSimPercentile(Unc_3,0.5)</f>
        <v>1238</v>
      </c>
      <c r="F17" s="60" cm="1">
        <f t="array" aca="1" ref="F17" ca="1">_xll.VoseSimPercentile(Unc_3,0.9)</f>
        <v>2277</v>
      </c>
      <c r="G17" s="60" cm="1">
        <f t="array" aca="1" ref="G17" ca="1">_xll.VoseSimMean(Unc_3)</f>
        <v>1367.7434000000001</v>
      </c>
    </row>
    <row r="18" spans="2:7" ht="18" customHeight="1" x14ac:dyDescent="0.45">
      <c r="B18" s="23" t="s">
        <v>186</v>
      </c>
      <c r="C18" s="23" t="s">
        <v>100</v>
      </c>
      <c r="D18" s="24" t="s">
        <v>198</v>
      </c>
      <c r="E18" s="5"/>
      <c r="F18" s="5"/>
      <c r="G18" s="5"/>
    </row>
    <row r="19" spans="2:7" x14ac:dyDescent="0.45">
      <c r="B19" s="25" t="s">
        <v>199</v>
      </c>
      <c r="C19" s="26" t="s">
        <v>192</v>
      </c>
      <c r="D19" s="60" cm="1">
        <f t="array" aca="1" ref="D19" ca="1">_xll.VoseSimStdev(Fit_3)</f>
        <v>553.95106198824806</v>
      </c>
      <c r="E19" s="28"/>
      <c r="F19" s="28"/>
      <c r="G19" s="28"/>
    </row>
    <row r="20" spans="2:7" x14ac:dyDescent="0.45">
      <c r="B20" s="34" t="s">
        <v>200</v>
      </c>
      <c r="C20" s="26" t="s">
        <v>192</v>
      </c>
      <c r="D20" s="60" cm="1">
        <f t="array" aca="1" ref="D20" ca="1">_xll.VoseSimStdev(Unc_3)</f>
        <v>701.553707221943</v>
      </c>
      <c r="E20" s="28"/>
      <c r="F20" s="28"/>
      <c r="G20" s="28"/>
    </row>
    <row r="21" spans="2:7" ht="8" customHeight="1" x14ac:dyDescent="0.45"/>
    <row r="22" spans="2:7" ht="22.05" customHeight="1" x14ac:dyDescent="0.5">
      <c r="B22" s="7" t="s">
        <v>201</v>
      </c>
      <c r="C22" s="8"/>
      <c r="D22" s="8"/>
      <c r="E22" s="8"/>
      <c r="F22" s="8"/>
      <c r="G22" s="8"/>
    </row>
    <row r="23" spans="2:7" ht="18" customHeight="1" x14ac:dyDescent="0.45">
      <c r="B23" s="13" t="s">
        <v>202</v>
      </c>
    </row>
    <row r="24" spans="2:7" ht="18" customHeight="1" x14ac:dyDescent="0.45">
      <c r="B24" s="23" t="s">
        <v>186</v>
      </c>
      <c r="C24" s="23" t="s">
        <v>100</v>
      </c>
      <c r="D24" s="24" t="s">
        <v>198</v>
      </c>
      <c r="E24" s="5"/>
      <c r="F24" s="5"/>
      <c r="G24" s="5"/>
    </row>
    <row r="25" spans="2:7" x14ac:dyDescent="0.45">
      <c r="B25" s="61" t="s">
        <v>203</v>
      </c>
      <c r="C25" s="26" t="s">
        <v>204</v>
      </c>
      <c r="D25" s="62">
        <f>EXP(Beta1)-1</f>
        <v>2.9886909900096015E-2</v>
      </c>
      <c r="E25" s="28"/>
      <c r="F25" s="28"/>
      <c r="G25" s="28"/>
    </row>
    <row r="26" spans="2:7" x14ac:dyDescent="0.45">
      <c r="B26" s="63" t="s">
        <v>205</v>
      </c>
      <c r="C26" s="26" t="s">
        <v>204</v>
      </c>
      <c r="D26" s="62">
        <f>EXP(Beta1-2*SE_b1)-1</f>
        <v>-1.583202613845236E-2</v>
      </c>
      <c r="E26" s="28"/>
      <c r="F26" s="28"/>
      <c r="G26" s="28"/>
    </row>
    <row r="27" spans="2:7" x14ac:dyDescent="0.45">
      <c r="B27" s="63" t="s">
        <v>206</v>
      </c>
      <c r="C27" s="26" t="s">
        <v>204</v>
      </c>
      <c r="D27" s="62">
        <f>EXP(Beta1+2*SE_b1)-1</f>
        <v>7.7729691834884873E-2</v>
      </c>
      <c r="E27" s="28"/>
      <c r="F27" s="28"/>
      <c r="G27" s="28"/>
    </row>
    <row r="28" spans="2:7" x14ac:dyDescent="0.45">
      <c r="B28" s="63" t="s">
        <v>207</v>
      </c>
      <c r="C28" s="26" t="s">
        <v>123</v>
      </c>
      <c r="D28" s="37">
        <f>LogL</f>
        <v>-117.89715150760776</v>
      </c>
      <c r="E28" s="28"/>
      <c r="F28" s="28"/>
      <c r="G28" s="28"/>
    </row>
    <row r="29" spans="2:7" ht="22.05" customHeight="1" x14ac:dyDescent="0.5">
      <c r="B29" s="7" t="s">
        <v>208</v>
      </c>
      <c r="C29" s="8"/>
      <c r="D29" s="8"/>
      <c r="E29" s="8"/>
      <c r="F29" s="8"/>
      <c r="G29" s="8"/>
    </row>
    <row r="30" spans="2:7" ht="32" customHeight="1" x14ac:dyDescent="0.45">
      <c r="B30" s="68" t="s">
        <v>209</v>
      </c>
      <c r="C30" s="67"/>
      <c r="D30" s="67"/>
      <c r="E30" s="67"/>
      <c r="F30" s="67"/>
      <c r="G30" s="67"/>
    </row>
    <row r="31" spans="2:7" ht="45" customHeight="1" x14ac:dyDescent="0.45">
      <c r="B31" s="68" t="s">
        <v>210</v>
      </c>
      <c r="C31" s="67"/>
      <c r="D31" s="67"/>
      <c r="E31" s="67"/>
      <c r="F31" s="67"/>
      <c r="G31" s="67"/>
    </row>
    <row r="32" spans="2:7" ht="32" customHeight="1" x14ac:dyDescent="0.45">
      <c r="B32" s="68" t="s">
        <v>211</v>
      </c>
      <c r="C32" s="67"/>
      <c r="D32" s="67"/>
      <c r="E32" s="67"/>
      <c r="F32" s="67"/>
      <c r="G32" s="67"/>
    </row>
    <row r="33" spans="2:7" ht="32" customHeight="1" x14ac:dyDescent="0.45">
      <c r="B33" s="68" t="s">
        <v>212</v>
      </c>
      <c r="C33" s="67"/>
      <c r="D33" s="67"/>
      <c r="E33" s="67"/>
      <c r="F33" s="67"/>
      <c r="G33" s="67"/>
    </row>
    <row r="34" spans="2:7" ht="14" customHeight="1" x14ac:dyDescent="0.45"/>
    <row r="35" spans="2:7" ht="14" customHeight="1" x14ac:dyDescent="0.45"/>
    <row r="36" spans="2:7" ht="22.05" customHeight="1" x14ac:dyDescent="0.5">
      <c r="B36" s="7" t="s">
        <v>213</v>
      </c>
      <c r="C36" s="8"/>
      <c r="D36" s="8"/>
      <c r="E36" s="8"/>
      <c r="F36" s="8"/>
      <c r="G36" s="8"/>
    </row>
    <row r="37" spans="2:7" ht="18" customHeight="1" x14ac:dyDescent="0.45">
      <c r="B37" s="13" t="s">
        <v>214</v>
      </c>
    </row>
    <row r="38" spans="2:7" ht="28.05" hidden="1" customHeight="1" outlineLevel="1" x14ac:dyDescent="0.45">
      <c r="B38" s="24" t="s">
        <v>215</v>
      </c>
      <c r="C38" s="24" t="s">
        <v>216</v>
      </c>
      <c r="D38" s="24" t="s">
        <v>217</v>
      </c>
      <c r="E38" s="24" t="s">
        <v>218</v>
      </c>
      <c r="F38" s="5"/>
      <c r="G38" s="5"/>
    </row>
    <row r="39" spans="2:7" hidden="1" outlineLevel="1" x14ac:dyDescent="0.45">
      <c r="B39" s="64">
        <v>0.01</v>
      </c>
      <c r="C39" s="64">
        <f t="shared" ref="C39:C70" si="0">1-B39</f>
        <v>0.99</v>
      </c>
      <c r="D39" s="65" cm="1">
        <f t="array" aca="1" ref="D39" ca="1">IF(ISNUMBER(_xll.VoseSimPercentile(Fit_3,$B39)),_xll.VoseSimPercentile(Fit_3,$B39),NA())</f>
        <v>374</v>
      </c>
      <c r="E39" s="65" cm="1">
        <f t="array" aca="1" ref="E39" ca="1">IF(ISNUMBER(_xll.VoseSimPercentile(Unc_3,$B39)),_xll.VoseSimPercentile(Unc_3,$B39),NA())</f>
        <v>334</v>
      </c>
    </row>
    <row r="40" spans="2:7" hidden="1" outlineLevel="1" x14ac:dyDescent="0.45">
      <c r="B40" s="64">
        <v>0.03</v>
      </c>
      <c r="C40" s="64">
        <f t="shared" si="0"/>
        <v>0.97</v>
      </c>
      <c r="D40" s="65" cm="1">
        <f t="array" aca="1" ref="D40" ca="1">IF(ISNUMBER(_xll.VoseSimPercentile(Fit_3,$B40)),_xll.VoseSimPercentile(Fit_3,$B40),NA())</f>
        <v>506</v>
      </c>
      <c r="E40" s="65" cm="1">
        <f t="array" aca="1" ref="E40" ca="1">IF(ISNUMBER(_xll.VoseSimPercentile(Unc_3,$B40)),_xll.VoseSimPercentile(Unc_3,$B40),NA())</f>
        <v>431</v>
      </c>
    </row>
    <row r="41" spans="2:7" hidden="1" outlineLevel="1" x14ac:dyDescent="0.45">
      <c r="B41" s="64">
        <v>0.05</v>
      </c>
      <c r="C41" s="64">
        <f t="shared" si="0"/>
        <v>0.95</v>
      </c>
      <c r="D41" s="65" cm="1">
        <f t="array" aca="1" ref="D41" ca="1">IF(ISNUMBER(_xll.VoseSimPercentile(Fit_3,$B41)),_xll.VoseSimPercentile(Fit_3,$B41),NA())</f>
        <v>577</v>
      </c>
      <c r="E41" s="65" cm="1">
        <f t="array" aca="1" ref="E41" ca="1">IF(ISNUMBER(_xll.VoseSimPercentile(Unc_3,$B41)),_xll.VoseSimPercentile(Unc_3,$B41),NA())</f>
        <v>491</v>
      </c>
    </row>
    <row r="42" spans="2:7" hidden="1" outlineLevel="1" x14ac:dyDescent="0.45">
      <c r="B42" s="64">
        <v>7.0000000000000007E-2</v>
      </c>
      <c r="C42" s="64">
        <f t="shared" si="0"/>
        <v>0.92999999999999994</v>
      </c>
      <c r="D42" s="65" cm="1">
        <f t="array" aca="1" ref="D42" ca="1">IF(ISNUMBER(_xll.VoseSimPercentile(Fit_3,$B42)),_xll.VoseSimPercentile(Fit_3,$B42),NA())</f>
        <v>629</v>
      </c>
      <c r="E42" s="65" cm="1">
        <f t="array" aca="1" ref="E42" ca="1">IF(ISNUMBER(_xll.VoseSimPercentile(Unc_3,$B42)),_xll.VoseSimPercentile(Unc_3,$B42),NA())</f>
        <v>545</v>
      </c>
    </row>
    <row r="43" spans="2:7" hidden="1" outlineLevel="1" x14ac:dyDescent="0.45">
      <c r="B43" s="64">
        <v>0.09</v>
      </c>
      <c r="C43" s="64">
        <f t="shared" si="0"/>
        <v>0.91</v>
      </c>
      <c r="D43" s="65" cm="1">
        <f t="array" aca="1" ref="D43" ca="1">IF(ISNUMBER(_xll.VoseSimPercentile(Fit_3,$B43)),_xll.VoseSimPercentile(Fit_3,$B43),NA())</f>
        <v>677</v>
      </c>
      <c r="E43" s="65" cm="1">
        <f t="array" aca="1" ref="E43" ca="1">IF(ISNUMBER(_xll.VoseSimPercentile(Unc_3,$B43)),_xll.VoseSimPercentile(Unc_3,$B43),NA())</f>
        <v>591</v>
      </c>
    </row>
    <row r="44" spans="2:7" hidden="1" outlineLevel="1" x14ac:dyDescent="0.45">
      <c r="B44" s="64">
        <v>0.11</v>
      </c>
      <c r="C44" s="64">
        <f t="shared" si="0"/>
        <v>0.89</v>
      </c>
      <c r="D44" s="65" cm="1">
        <f t="array" aca="1" ref="D44" ca="1">IF(ISNUMBER(_xll.VoseSimPercentile(Fit_3,$B44)),_xll.VoseSimPercentile(Fit_3,$B44),NA())</f>
        <v>715</v>
      </c>
      <c r="E44" s="65" cm="1">
        <f t="array" aca="1" ref="E44" ca="1">IF(ISNUMBER(_xll.VoseSimPercentile(Unc_3,$B44)),_xll.VoseSimPercentile(Unc_3,$B44),NA())</f>
        <v>634</v>
      </c>
    </row>
    <row r="45" spans="2:7" hidden="1" outlineLevel="1" x14ac:dyDescent="0.45">
      <c r="B45" s="64">
        <v>0.13</v>
      </c>
      <c r="C45" s="64">
        <f t="shared" si="0"/>
        <v>0.87</v>
      </c>
      <c r="D45" s="65" cm="1">
        <f t="array" aca="1" ref="D45" ca="1">IF(ISNUMBER(_xll.VoseSimPercentile(Fit_3,$B45)),_xll.VoseSimPercentile(Fit_3,$B45),NA())</f>
        <v>749</v>
      </c>
      <c r="E45" s="65" cm="1">
        <f t="array" aca="1" ref="E45" ca="1">IF(ISNUMBER(_xll.VoseSimPercentile(Unc_3,$B45)),_xll.VoseSimPercentile(Unc_3,$B45),NA())</f>
        <v>673</v>
      </c>
    </row>
    <row r="46" spans="2:7" hidden="1" outlineLevel="1" x14ac:dyDescent="0.45">
      <c r="B46" s="64">
        <v>0.15</v>
      </c>
      <c r="C46" s="64">
        <f t="shared" si="0"/>
        <v>0.85</v>
      </c>
      <c r="D46" s="65" cm="1">
        <f t="array" aca="1" ref="D46" ca="1">IF(ISNUMBER(_xll.VoseSimPercentile(Fit_3,$B46)),_xll.VoseSimPercentile(Fit_3,$B46),NA())</f>
        <v>781</v>
      </c>
      <c r="E46" s="65" cm="1">
        <f t="array" aca="1" ref="E46" ca="1">IF(ISNUMBER(_xll.VoseSimPercentile(Unc_3,$B46)),_xll.VoseSimPercentile(Unc_3,$B46),NA())</f>
        <v>712</v>
      </c>
    </row>
    <row r="47" spans="2:7" hidden="1" outlineLevel="1" x14ac:dyDescent="0.45">
      <c r="B47" s="64">
        <v>0.17</v>
      </c>
      <c r="C47" s="64">
        <f t="shared" si="0"/>
        <v>0.83</v>
      </c>
      <c r="D47" s="65" cm="1">
        <f t="array" aca="1" ref="D47" ca="1">IF(ISNUMBER(_xll.VoseSimPercentile(Fit_3,$B47)),_xll.VoseSimPercentile(Fit_3,$B47),NA())</f>
        <v>809</v>
      </c>
      <c r="E47" s="65" cm="1">
        <f t="array" aca="1" ref="E47" ca="1">IF(ISNUMBER(_xll.VoseSimPercentile(Unc_3,$B47)),_xll.VoseSimPercentile(Unc_3,$B47),NA())</f>
        <v>744</v>
      </c>
    </row>
    <row r="48" spans="2:7" hidden="1" outlineLevel="1" x14ac:dyDescent="0.45">
      <c r="B48" s="64">
        <v>0.19</v>
      </c>
      <c r="C48" s="64">
        <f t="shared" si="0"/>
        <v>0.81</v>
      </c>
      <c r="D48" s="65" cm="1">
        <f t="array" aca="1" ref="D48" ca="1">IF(ISNUMBER(_xll.VoseSimPercentile(Fit_3,$B48)),_xll.VoseSimPercentile(Fit_3,$B48),NA())</f>
        <v>839</v>
      </c>
      <c r="E48" s="65" cm="1">
        <f t="array" aca="1" ref="E48" ca="1">IF(ISNUMBER(_xll.VoseSimPercentile(Unc_3,$B48)),_xll.VoseSimPercentile(Unc_3,$B48),NA())</f>
        <v>778</v>
      </c>
    </row>
    <row r="49" spans="2:5" hidden="1" outlineLevel="1" x14ac:dyDescent="0.45">
      <c r="B49" s="64">
        <v>0.21</v>
      </c>
      <c r="C49" s="64">
        <f t="shared" si="0"/>
        <v>0.79</v>
      </c>
      <c r="D49" s="65" cm="1">
        <f t="array" aca="1" ref="D49" ca="1">IF(ISNUMBER(_xll.VoseSimPercentile(Fit_3,$B49)),_xll.VoseSimPercentile(Fit_3,$B49),NA())</f>
        <v>871</v>
      </c>
      <c r="E49" s="65" cm="1">
        <f t="array" aca="1" ref="E49" ca="1">IF(ISNUMBER(_xll.VoseSimPercentile(Unc_3,$B49)),_xll.VoseSimPercentile(Unc_3,$B49),NA())</f>
        <v>808</v>
      </c>
    </row>
    <row r="50" spans="2:5" hidden="1" outlineLevel="1" x14ac:dyDescent="0.45">
      <c r="B50" s="64">
        <v>0.23</v>
      </c>
      <c r="C50" s="64">
        <f t="shared" si="0"/>
        <v>0.77</v>
      </c>
      <c r="D50" s="65" cm="1">
        <f t="array" aca="1" ref="D50" ca="1">IF(ISNUMBER(_xll.VoseSimPercentile(Fit_3,$B50)),_xll.VoseSimPercentile(Fit_3,$B50),NA())</f>
        <v>900</v>
      </c>
      <c r="E50" s="65" cm="1">
        <f t="array" aca="1" ref="E50" ca="1">IF(ISNUMBER(_xll.VoseSimPercentile(Unc_3,$B50)),_xll.VoseSimPercentile(Unc_3,$B50),NA())</f>
        <v>839</v>
      </c>
    </row>
    <row r="51" spans="2:5" hidden="1" outlineLevel="1" x14ac:dyDescent="0.45">
      <c r="B51" s="64">
        <v>0.25</v>
      </c>
      <c r="C51" s="64">
        <f t="shared" si="0"/>
        <v>0.75</v>
      </c>
      <c r="D51" s="65" cm="1">
        <f t="array" aca="1" ref="D51" ca="1">IF(ISNUMBER(_xll.VoseSimPercentile(Fit_3,$B51)),_xll.VoseSimPercentile(Fit_3,$B51),NA())</f>
        <v>926</v>
      </c>
      <c r="E51" s="65" cm="1">
        <f t="array" aca="1" ref="E51" ca="1">IF(ISNUMBER(_xll.VoseSimPercentile(Unc_3,$B51)),_xll.VoseSimPercentile(Unc_3,$B51),NA())</f>
        <v>873</v>
      </c>
    </row>
    <row r="52" spans="2:5" hidden="1" outlineLevel="1" x14ac:dyDescent="0.45">
      <c r="B52" s="64">
        <v>0.27</v>
      </c>
      <c r="C52" s="64">
        <f t="shared" si="0"/>
        <v>0.73</v>
      </c>
      <c r="D52" s="65" cm="1">
        <f t="array" aca="1" ref="D52" ca="1">IF(ISNUMBER(_xll.VoseSimPercentile(Fit_3,$B52)),_xll.VoseSimPercentile(Fit_3,$B52),NA())</f>
        <v>952</v>
      </c>
      <c r="E52" s="65" cm="1">
        <f t="array" aca="1" ref="E52" ca="1">IF(ISNUMBER(_xll.VoseSimPercentile(Unc_3,$B52)),_xll.VoseSimPercentile(Unc_3,$B52),NA())</f>
        <v>903</v>
      </c>
    </row>
    <row r="53" spans="2:5" hidden="1" outlineLevel="1" x14ac:dyDescent="0.45">
      <c r="B53" s="64">
        <v>0.28999999999999998</v>
      </c>
      <c r="C53" s="64">
        <f t="shared" si="0"/>
        <v>0.71</v>
      </c>
      <c r="D53" s="65" cm="1">
        <f t="array" aca="1" ref="D53" ca="1">IF(ISNUMBER(_xll.VoseSimPercentile(Fit_3,$B53)),_xll.VoseSimPercentile(Fit_3,$B53),NA())</f>
        <v>977</v>
      </c>
      <c r="E53" s="65" cm="1">
        <f t="array" aca="1" ref="E53" ca="1">IF(ISNUMBER(_xll.VoseSimPercentile(Unc_3,$B53)),_xll.VoseSimPercentile(Unc_3,$B53),NA())</f>
        <v>930</v>
      </c>
    </row>
    <row r="54" spans="2:5" hidden="1" outlineLevel="1" x14ac:dyDescent="0.45">
      <c r="B54" s="64">
        <v>0.31</v>
      </c>
      <c r="C54" s="64">
        <f t="shared" si="0"/>
        <v>0.69</v>
      </c>
      <c r="D54" s="65" cm="1">
        <f t="array" aca="1" ref="D54" ca="1">IF(ISNUMBER(_xll.VoseSimPercentile(Fit_3,$B54)),_xll.VoseSimPercentile(Fit_3,$B54),NA())</f>
        <v>1004</v>
      </c>
      <c r="E54" s="65" cm="1">
        <f t="array" aca="1" ref="E54" ca="1">IF(ISNUMBER(_xll.VoseSimPercentile(Unc_3,$B54)),_xll.VoseSimPercentile(Unc_3,$B54),NA())</f>
        <v>959</v>
      </c>
    </row>
    <row r="55" spans="2:5" hidden="1" outlineLevel="1" x14ac:dyDescent="0.45">
      <c r="B55" s="64">
        <v>0.33</v>
      </c>
      <c r="C55" s="64">
        <f t="shared" si="0"/>
        <v>0.66999999999999993</v>
      </c>
      <c r="D55" s="65" cm="1">
        <f t="array" aca="1" ref="D55" ca="1">IF(ISNUMBER(_xll.VoseSimPercentile(Fit_3,$B55)),_xll.VoseSimPercentile(Fit_3,$B55),NA())</f>
        <v>1026</v>
      </c>
      <c r="E55" s="65" cm="1">
        <f t="array" aca="1" ref="E55" ca="1">IF(ISNUMBER(_xll.VoseSimPercentile(Unc_3,$B55)),_xll.VoseSimPercentile(Unc_3,$B55),NA())</f>
        <v>985</v>
      </c>
    </row>
    <row r="56" spans="2:5" hidden="1" outlineLevel="1" x14ac:dyDescent="0.45">
      <c r="B56" s="64">
        <v>0.35</v>
      </c>
      <c r="C56" s="64">
        <f t="shared" si="0"/>
        <v>0.65</v>
      </c>
      <c r="D56" s="65" cm="1">
        <f t="array" aca="1" ref="D56" ca="1">IF(ISNUMBER(_xll.VoseSimPercentile(Fit_3,$B56)),_xll.VoseSimPercentile(Fit_3,$B56),NA())</f>
        <v>1051</v>
      </c>
      <c r="E56" s="65" cm="1">
        <f t="array" aca="1" ref="E56" ca="1">IF(ISNUMBER(_xll.VoseSimPercentile(Unc_3,$B56)),_xll.VoseSimPercentile(Unc_3,$B56),NA())</f>
        <v>1014</v>
      </c>
    </row>
    <row r="57" spans="2:5" hidden="1" outlineLevel="1" x14ac:dyDescent="0.45">
      <c r="B57" s="64">
        <v>0.37</v>
      </c>
      <c r="C57" s="64">
        <f t="shared" si="0"/>
        <v>0.63</v>
      </c>
      <c r="D57" s="65" cm="1">
        <f t="array" aca="1" ref="D57" ca="1">IF(ISNUMBER(_xll.VoseSimPercentile(Fit_3,$B57)),_xll.VoseSimPercentile(Fit_3,$B57),NA())</f>
        <v>1080</v>
      </c>
      <c r="E57" s="65" cm="1">
        <f t="array" aca="1" ref="E57" ca="1">IF(ISNUMBER(_xll.VoseSimPercentile(Unc_3,$B57)),_xll.VoseSimPercentile(Unc_3,$B57),NA())</f>
        <v>1048</v>
      </c>
    </row>
    <row r="58" spans="2:5" hidden="1" outlineLevel="1" x14ac:dyDescent="0.45">
      <c r="B58" s="64">
        <v>0.39</v>
      </c>
      <c r="C58" s="64">
        <f t="shared" si="0"/>
        <v>0.61</v>
      </c>
      <c r="D58" s="65" cm="1">
        <f t="array" aca="1" ref="D58" ca="1">IF(ISNUMBER(_xll.VoseSimPercentile(Fit_3,$B58)),_xll.VoseSimPercentile(Fit_3,$B58),NA())</f>
        <v>1105</v>
      </c>
      <c r="E58" s="65" cm="1">
        <f t="array" aca="1" ref="E58" ca="1">IF(ISNUMBER(_xll.VoseSimPercentile(Unc_3,$B58)),_xll.VoseSimPercentile(Unc_3,$B58),NA())</f>
        <v>1078</v>
      </c>
    </row>
    <row r="59" spans="2:5" hidden="1" outlineLevel="1" x14ac:dyDescent="0.45">
      <c r="B59" s="64">
        <v>0.41</v>
      </c>
      <c r="C59" s="64">
        <f t="shared" si="0"/>
        <v>0.59000000000000008</v>
      </c>
      <c r="D59" s="65" cm="1">
        <f t="array" aca="1" ref="D59" ca="1">IF(ISNUMBER(_xll.VoseSimPercentile(Fit_3,$B59)),_xll.VoseSimPercentile(Fit_3,$B59),NA())</f>
        <v>1132</v>
      </c>
      <c r="E59" s="65" cm="1">
        <f t="array" aca="1" ref="E59" ca="1">IF(ISNUMBER(_xll.VoseSimPercentile(Unc_3,$B59)),_xll.VoseSimPercentile(Unc_3,$B59),NA())</f>
        <v>1106</v>
      </c>
    </row>
    <row r="60" spans="2:5" hidden="1" outlineLevel="1" x14ac:dyDescent="0.45">
      <c r="B60" s="64">
        <v>0.43</v>
      </c>
      <c r="C60" s="64">
        <f t="shared" si="0"/>
        <v>0.57000000000000006</v>
      </c>
      <c r="D60" s="65" cm="1">
        <f t="array" aca="1" ref="D60" ca="1">IF(ISNUMBER(_xll.VoseSimPercentile(Fit_3,$B60)),_xll.VoseSimPercentile(Fit_3,$B60),NA())</f>
        <v>1157</v>
      </c>
      <c r="E60" s="65" cm="1">
        <f t="array" aca="1" ref="E60" ca="1">IF(ISNUMBER(_xll.VoseSimPercentile(Unc_3,$B60)),_xll.VoseSimPercentile(Unc_3,$B60),NA())</f>
        <v>1134</v>
      </c>
    </row>
    <row r="61" spans="2:5" hidden="1" outlineLevel="1" x14ac:dyDescent="0.45">
      <c r="B61" s="64">
        <v>0.45</v>
      </c>
      <c r="C61" s="64">
        <f t="shared" si="0"/>
        <v>0.55000000000000004</v>
      </c>
      <c r="D61" s="65" cm="1">
        <f t="array" aca="1" ref="D61" ca="1">IF(ISNUMBER(_xll.VoseSimPercentile(Fit_3,$B61)),_xll.VoseSimPercentile(Fit_3,$B61),NA())</f>
        <v>1184</v>
      </c>
      <c r="E61" s="65" cm="1">
        <f t="array" aca="1" ref="E61" ca="1">IF(ISNUMBER(_xll.VoseSimPercentile(Unc_3,$B61)),_xll.VoseSimPercentile(Unc_3,$B61),NA())</f>
        <v>1160</v>
      </c>
    </row>
    <row r="62" spans="2:5" hidden="1" outlineLevel="1" x14ac:dyDescent="0.45">
      <c r="B62" s="64">
        <v>0.47</v>
      </c>
      <c r="C62" s="64">
        <f t="shared" si="0"/>
        <v>0.53</v>
      </c>
      <c r="D62" s="65" cm="1">
        <f t="array" aca="1" ref="D62" ca="1">IF(ISNUMBER(_xll.VoseSimPercentile(Fit_3,$B62)),_xll.VoseSimPercentile(Fit_3,$B62),NA())</f>
        <v>1212</v>
      </c>
      <c r="E62" s="65" cm="1">
        <f t="array" aca="1" ref="E62" ca="1">IF(ISNUMBER(_xll.VoseSimPercentile(Unc_3,$B62)),_xll.VoseSimPercentile(Unc_3,$B62),NA())</f>
        <v>1188</v>
      </c>
    </row>
    <row r="63" spans="2:5" hidden="1" outlineLevel="1" x14ac:dyDescent="0.45">
      <c r="B63" s="64">
        <v>0.49</v>
      </c>
      <c r="C63" s="64">
        <f t="shared" si="0"/>
        <v>0.51</v>
      </c>
      <c r="D63" s="65" cm="1">
        <f t="array" aca="1" ref="D63" ca="1">IF(ISNUMBER(_xll.VoseSimPercentile(Fit_3,$B63)),_xll.VoseSimPercentile(Fit_3,$B63),NA())</f>
        <v>1239</v>
      </c>
      <c r="E63" s="65" cm="1">
        <f t="array" aca="1" ref="E63" ca="1">IF(ISNUMBER(_xll.VoseSimPercentile(Unc_3,$B63)),_xll.VoseSimPercentile(Unc_3,$B63),NA())</f>
        <v>1220</v>
      </c>
    </row>
    <row r="64" spans="2:5" hidden="1" outlineLevel="1" x14ac:dyDescent="0.45">
      <c r="B64" s="64">
        <v>0.51</v>
      </c>
      <c r="C64" s="64">
        <f t="shared" si="0"/>
        <v>0.49</v>
      </c>
      <c r="D64" s="65" cm="1">
        <f t="array" aca="1" ref="D64" ca="1">IF(ISNUMBER(_xll.VoseSimPercentile(Fit_3,$B64)),_xll.VoseSimPercentile(Fit_3,$B64),NA())</f>
        <v>1266</v>
      </c>
      <c r="E64" s="65" cm="1">
        <f t="array" aca="1" ref="E64" ca="1">IF(ISNUMBER(_xll.VoseSimPercentile(Unc_3,$B64)),_xll.VoseSimPercentile(Unc_3,$B64),NA())</f>
        <v>1252</v>
      </c>
    </row>
    <row r="65" spans="2:5" hidden="1" outlineLevel="1" x14ac:dyDescent="0.45">
      <c r="B65" s="64">
        <v>0.53</v>
      </c>
      <c r="C65" s="64">
        <f t="shared" si="0"/>
        <v>0.47</v>
      </c>
      <c r="D65" s="65" cm="1">
        <f t="array" aca="1" ref="D65" ca="1">IF(ISNUMBER(_xll.VoseSimPercentile(Fit_3,$B65)),_xll.VoseSimPercentile(Fit_3,$B65),NA())</f>
        <v>1291</v>
      </c>
      <c r="E65" s="65" cm="1">
        <f t="array" aca="1" ref="E65" ca="1">IF(ISNUMBER(_xll.VoseSimPercentile(Unc_3,$B65)),_xll.VoseSimPercentile(Unc_3,$B65),NA())</f>
        <v>1281</v>
      </c>
    </row>
    <row r="66" spans="2:5" hidden="1" outlineLevel="1" x14ac:dyDescent="0.45">
      <c r="B66" s="64">
        <v>0.55000000000000004</v>
      </c>
      <c r="C66" s="64">
        <f t="shared" si="0"/>
        <v>0.44999999999999996</v>
      </c>
      <c r="D66" s="65" cm="1">
        <f t="array" aca="1" ref="D66" ca="1">IF(ISNUMBER(_xll.VoseSimPercentile(Fit_3,$B66)),_xll.VoseSimPercentile(Fit_3,$B66),NA())</f>
        <v>1316</v>
      </c>
      <c r="E66" s="65" cm="1">
        <f t="array" aca="1" ref="E66" ca="1">IF(ISNUMBER(_xll.VoseSimPercentile(Unc_3,$B66)),_xll.VoseSimPercentile(Unc_3,$B66),NA())</f>
        <v>1312</v>
      </c>
    </row>
    <row r="67" spans="2:5" hidden="1" outlineLevel="1" x14ac:dyDescent="0.45">
      <c r="B67" s="64">
        <v>0.56999999999999995</v>
      </c>
      <c r="C67" s="64">
        <f t="shared" si="0"/>
        <v>0.43000000000000005</v>
      </c>
      <c r="D67" s="65" cm="1">
        <f t="array" aca="1" ref="D67" ca="1">IF(ISNUMBER(_xll.VoseSimPercentile(Fit_3,$B67)),_xll.VoseSimPercentile(Fit_3,$B67),NA())</f>
        <v>1345</v>
      </c>
      <c r="E67" s="65" cm="1">
        <f t="array" aca="1" ref="E67" ca="1">IF(ISNUMBER(_xll.VoseSimPercentile(Unc_3,$B67)),_xll.VoseSimPercentile(Unc_3,$B67),NA())</f>
        <v>1344</v>
      </c>
    </row>
    <row r="68" spans="2:5" hidden="1" outlineLevel="1" x14ac:dyDescent="0.45">
      <c r="B68" s="64">
        <v>0.59</v>
      </c>
      <c r="C68" s="64">
        <f t="shared" si="0"/>
        <v>0.41000000000000003</v>
      </c>
      <c r="D68" s="65" cm="1">
        <f t="array" aca="1" ref="D68" ca="1">IF(ISNUMBER(_xll.VoseSimPercentile(Fit_3,$B68)),_xll.VoseSimPercentile(Fit_3,$B68),NA())</f>
        <v>1372</v>
      </c>
      <c r="E68" s="65" cm="1">
        <f t="array" aca="1" ref="E68" ca="1">IF(ISNUMBER(_xll.VoseSimPercentile(Unc_3,$B68)),_xll.VoseSimPercentile(Unc_3,$B68),NA())</f>
        <v>1378</v>
      </c>
    </row>
    <row r="69" spans="2:5" hidden="1" outlineLevel="1" x14ac:dyDescent="0.45">
      <c r="B69" s="64">
        <v>0.61</v>
      </c>
      <c r="C69" s="64">
        <f t="shared" si="0"/>
        <v>0.39</v>
      </c>
      <c r="D69" s="65" cm="1">
        <f t="array" aca="1" ref="D69" ca="1">IF(ISNUMBER(_xll.VoseSimPercentile(Fit_3,$B69)),_xll.VoseSimPercentile(Fit_3,$B69),NA())</f>
        <v>1407</v>
      </c>
      <c r="E69" s="65" cm="1">
        <f t="array" aca="1" ref="E69" ca="1">IF(ISNUMBER(_xll.VoseSimPercentile(Unc_3,$B69)),_xll.VoseSimPercentile(Unc_3,$B69),NA())</f>
        <v>1419</v>
      </c>
    </row>
    <row r="70" spans="2:5" hidden="1" outlineLevel="1" x14ac:dyDescent="0.45">
      <c r="B70" s="64">
        <v>0.63</v>
      </c>
      <c r="C70" s="64">
        <f t="shared" si="0"/>
        <v>0.37</v>
      </c>
      <c r="D70" s="65" cm="1">
        <f t="array" aca="1" ref="D70" ca="1">IF(ISNUMBER(_xll.VoseSimPercentile(Fit_3,$B70)),_xll.VoseSimPercentile(Fit_3,$B70),NA())</f>
        <v>1437</v>
      </c>
      <c r="E70" s="65" cm="1">
        <f t="array" aca="1" ref="E70" ca="1">IF(ISNUMBER(_xll.VoseSimPercentile(Unc_3,$B70)),_xll.VoseSimPercentile(Unc_3,$B70),NA())</f>
        <v>1452</v>
      </c>
    </row>
    <row r="71" spans="2:5" hidden="1" outlineLevel="1" x14ac:dyDescent="0.45">
      <c r="B71" s="64">
        <v>0.65</v>
      </c>
      <c r="C71" s="64">
        <f t="shared" ref="C71:C102" si="1">1-B71</f>
        <v>0.35</v>
      </c>
      <c r="D71" s="65" cm="1">
        <f t="array" aca="1" ref="D71" ca="1">IF(ISNUMBER(_xll.VoseSimPercentile(Fit_3,$B71)),_xll.VoseSimPercentile(Fit_3,$B71),NA())</f>
        <v>1472</v>
      </c>
      <c r="E71" s="65" cm="1">
        <f t="array" aca="1" ref="E71" ca="1">IF(ISNUMBER(_xll.VoseSimPercentile(Unc_3,$B71)),_xll.VoseSimPercentile(Unc_3,$B71),NA())</f>
        <v>1491</v>
      </c>
    </row>
    <row r="72" spans="2:5" hidden="1" outlineLevel="1" x14ac:dyDescent="0.45">
      <c r="B72" s="64">
        <v>0.67</v>
      </c>
      <c r="C72" s="64">
        <f t="shared" si="1"/>
        <v>0.32999999999999996</v>
      </c>
      <c r="D72" s="65" cm="1">
        <f t="array" aca="1" ref="D72" ca="1">IF(ISNUMBER(_xll.VoseSimPercentile(Fit_3,$B72)),_xll.VoseSimPercentile(Fit_3,$B72),NA())</f>
        <v>1507</v>
      </c>
      <c r="E72" s="65" cm="1">
        <f t="array" aca="1" ref="E72" ca="1">IF(ISNUMBER(_xll.VoseSimPercentile(Unc_3,$B72)),_xll.VoseSimPercentile(Unc_3,$B72),NA())</f>
        <v>1527</v>
      </c>
    </row>
    <row r="73" spans="2:5" hidden="1" outlineLevel="1" x14ac:dyDescent="0.45">
      <c r="B73" s="64">
        <v>0.69</v>
      </c>
      <c r="C73" s="64">
        <f t="shared" si="1"/>
        <v>0.31000000000000005</v>
      </c>
      <c r="D73" s="65" cm="1">
        <f t="array" aca="1" ref="D73" ca="1">IF(ISNUMBER(_xll.VoseSimPercentile(Fit_3,$B73)),_xll.VoseSimPercentile(Fit_3,$B73),NA())</f>
        <v>1543</v>
      </c>
      <c r="E73" s="65" cm="1">
        <f t="array" aca="1" ref="E73" ca="1">IF(ISNUMBER(_xll.VoseSimPercentile(Unc_3,$B73)),_xll.VoseSimPercentile(Unc_3,$B73),NA())</f>
        <v>1573</v>
      </c>
    </row>
    <row r="74" spans="2:5" hidden="1" outlineLevel="1" x14ac:dyDescent="0.45">
      <c r="B74" s="64">
        <v>0.71</v>
      </c>
      <c r="C74" s="64">
        <f t="shared" si="1"/>
        <v>0.29000000000000004</v>
      </c>
      <c r="D74" s="65" cm="1">
        <f t="array" aca="1" ref="D74" ca="1">IF(ISNUMBER(_xll.VoseSimPercentile(Fit_3,$B74)),_xll.VoseSimPercentile(Fit_3,$B74),NA())</f>
        <v>1580</v>
      </c>
      <c r="E74" s="65" cm="1">
        <f t="array" aca="1" ref="E74" ca="1">IF(ISNUMBER(_xll.VoseSimPercentile(Unc_3,$B74)),_xll.VoseSimPercentile(Unc_3,$B74),NA())</f>
        <v>1617</v>
      </c>
    </row>
    <row r="75" spans="2:5" hidden="1" outlineLevel="1" x14ac:dyDescent="0.45">
      <c r="B75" s="64">
        <v>0.73</v>
      </c>
      <c r="C75" s="64">
        <f t="shared" si="1"/>
        <v>0.27</v>
      </c>
      <c r="D75" s="65" cm="1">
        <f t="array" aca="1" ref="D75" ca="1">IF(ISNUMBER(_xll.VoseSimPercentile(Fit_3,$B75)),_xll.VoseSimPercentile(Fit_3,$B75),NA())</f>
        <v>1617</v>
      </c>
      <c r="E75" s="65" cm="1">
        <f t="array" aca="1" ref="E75" ca="1">IF(ISNUMBER(_xll.VoseSimPercentile(Unc_3,$B75)),_xll.VoseSimPercentile(Unc_3,$B75),NA())</f>
        <v>1667</v>
      </c>
    </row>
    <row r="76" spans="2:5" hidden="1" outlineLevel="1" x14ac:dyDescent="0.45">
      <c r="B76" s="64">
        <v>0.75</v>
      </c>
      <c r="C76" s="64">
        <f t="shared" si="1"/>
        <v>0.25</v>
      </c>
      <c r="D76" s="65" cm="1">
        <f t="array" aca="1" ref="D76" ca="1">IF(ISNUMBER(_xll.VoseSimPercentile(Fit_3,$B76)),_xll.VoseSimPercentile(Fit_3,$B76),NA())</f>
        <v>1656</v>
      </c>
      <c r="E76" s="65" cm="1">
        <f t="array" aca="1" ref="E76" ca="1">IF(ISNUMBER(_xll.VoseSimPercentile(Unc_3,$B76)),_xll.VoseSimPercentile(Unc_3,$B76),NA())</f>
        <v>1718</v>
      </c>
    </row>
    <row r="77" spans="2:5" hidden="1" outlineLevel="1" x14ac:dyDescent="0.45">
      <c r="B77" s="64">
        <v>0.77</v>
      </c>
      <c r="C77" s="64">
        <f t="shared" si="1"/>
        <v>0.22999999999999998</v>
      </c>
      <c r="D77" s="65" cm="1">
        <f t="array" aca="1" ref="D77" ca="1">IF(ISNUMBER(_xll.VoseSimPercentile(Fit_3,$B77)),_xll.VoseSimPercentile(Fit_3,$B77),NA())</f>
        <v>1697</v>
      </c>
      <c r="E77" s="65" cm="1">
        <f t="array" aca="1" ref="E77" ca="1">IF(ISNUMBER(_xll.VoseSimPercentile(Unc_3,$B77)),_xll.VoseSimPercentile(Unc_3,$B77),NA())</f>
        <v>1766</v>
      </c>
    </row>
    <row r="78" spans="2:5" hidden="1" outlineLevel="1" x14ac:dyDescent="0.45">
      <c r="B78" s="64">
        <v>0.79</v>
      </c>
      <c r="C78" s="64">
        <f t="shared" si="1"/>
        <v>0.20999999999999996</v>
      </c>
      <c r="D78" s="65" cm="1">
        <f t="array" aca="1" ref="D78" ca="1">IF(ISNUMBER(_xll.VoseSimPercentile(Fit_3,$B78)),_xll.VoseSimPercentile(Fit_3,$B78),NA())</f>
        <v>1735</v>
      </c>
      <c r="E78" s="65" cm="1">
        <f t="array" aca="1" ref="E78" ca="1">IF(ISNUMBER(_xll.VoseSimPercentile(Unc_3,$B78)),_xll.VoseSimPercentile(Unc_3,$B78),NA())</f>
        <v>1829</v>
      </c>
    </row>
    <row r="79" spans="2:5" hidden="1" outlineLevel="1" x14ac:dyDescent="0.45">
      <c r="B79" s="64">
        <v>0.81</v>
      </c>
      <c r="C79" s="64">
        <f t="shared" si="1"/>
        <v>0.18999999999999995</v>
      </c>
      <c r="D79" s="65" cm="1">
        <f t="array" aca="1" ref="D79" ca="1">IF(ISNUMBER(_xll.VoseSimPercentile(Fit_3,$B79)),_xll.VoseSimPercentile(Fit_3,$B79),NA())</f>
        <v>1780</v>
      </c>
      <c r="E79" s="65" cm="1">
        <f t="array" aca="1" ref="E79" ca="1">IF(ISNUMBER(_xll.VoseSimPercentile(Unc_3,$B79)),_xll.VoseSimPercentile(Unc_3,$B79),NA())</f>
        <v>1898</v>
      </c>
    </row>
    <row r="80" spans="2:5" hidden="1" outlineLevel="1" x14ac:dyDescent="0.45">
      <c r="B80" s="64">
        <v>0.83</v>
      </c>
      <c r="C80" s="64">
        <f t="shared" si="1"/>
        <v>0.17000000000000004</v>
      </c>
      <c r="D80" s="65" cm="1">
        <f t="array" aca="1" ref="D80" ca="1">IF(ISNUMBER(_xll.VoseSimPercentile(Fit_3,$B80)),_xll.VoseSimPercentile(Fit_3,$B80),NA())</f>
        <v>1828</v>
      </c>
      <c r="E80" s="65" cm="1">
        <f t="array" aca="1" ref="E80" ca="1">IF(ISNUMBER(_xll.VoseSimPercentile(Unc_3,$B80)),_xll.VoseSimPercentile(Unc_3,$B80),NA())</f>
        <v>1963</v>
      </c>
    </row>
    <row r="81" spans="2:5" hidden="1" outlineLevel="1" x14ac:dyDescent="0.45">
      <c r="B81" s="64">
        <v>0.85</v>
      </c>
      <c r="C81" s="64">
        <f t="shared" si="1"/>
        <v>0.15000000000000002</v>
      </c>
      <c r="D81" s="65" cm="1">
        <f t="array" aca="1" ref="D81" ca="1">IF(ISNUMBER(_xll.VoseSimPercentile(Fit_3,$B81)),_xll.VoseSimPercentile(Fit_3,$B81),NA())</f>
        <v>1889</v>
      </c>
      <c r="E81" s="65" cm="1">
        <f t="array" aca="1" ref="E81" ca="1">IF(ISNUMBER(_xll.VoseSimPercentile(Unc_3,$B81)),_xll.VoseSimPercentile(Unc_3,$B81),NA())</f>
        <v>2039</v>
      </c>
    </row>
    <row r="82" spans="2:5" hidden="1" outlineLevel="1" x14ac:dyDescent="0.45">
      <c r="B82" s="64">
        <v>0.87</v>
      </c>
      <c r="C82" s="64">
        <f t="shared" si="1"/>
        <v>0.13</v>
      </c>
      <c r="D82" s="65" cm="1">
        <f t="array" aca="1" ref="D82" ca="1">IF(ISNUMBER(_xll.VoseSimPercentile(Fit_3,$B82)),_xll.VoseSimPercentile(Fit_3,$B82),NA())</f>
        <v>1954</v>
      </c>
      <c r="E82" s="65" cm="1">
        <f t="array" aca="1" ref="E82" ca="1">IF(ISNUMBER(_xll.VoseSimPercentile(Unc_3,$B82)),_xll.VoseSimPercentile(Unc_3,$B82),NA())</f>
        <v>2130</v>
      </c>
    </row>
    <row r="83" spans="2:5" hidden="1" outlineLevel="1" x14ac:dyDescent="0.45">
      <c r="B83" s="64">
        <v>0.89</v>
      </c>
      <c r="C83" s="64">
        <f t="shared" si="1"/>
        <v>0.10999999999999999</v>
      </c>
      <c r="D83" s="65" cm="1">
        <f t="array" aca="1" ref="D83" ca="1">IF(ISNUMBER(_xll.VoseSimPercentile(Fit_3,$B83)),_xll.VoseSimPercentile(Fit_3,$B83),NA())</f>
        <v>2032</v>
      </c>
      <c r="E83" s="65" cm="1">
        <f t="array" aca="1" ref="E83" ca="1">IF(ISNUMBER(_xll.VoseSimPercentile(Unc_3,$B83)),_xll.VoseSimPercentile(Unc_3,$B83),NA())</f>
        <v>2222</v>
      </c>
    </row>
    <row r="84" spans="2:5" hidden="1" outlineLevel="1" x14ac:dyDescent="0.45">
      <c r="B84" s="64">
        <v>0.91</v>
      </c>
      <c r="C84" s="64">
        <f t="shared" si="1"/>
        <v>8.9999999999999969E-2</v>
      </c>
      <c r="D84" s="65" cm="1">
        <f t="array" aca="1" ref="D84" ca="1">IF(ISNUMBER(_xll.VoseSimPercentile(Fit_3,$B84)),_xll.VoseSimPercentile(Fit_3,$B84),NA())</f>
        <v>2116</v>
      </c>
      <c r="E84" s="65" cm="1">
        <f t="array" aca="1" ref="E84" ca="1">IF(ISNUMBER(_xll.VoseSimPercentile(Unc_3,$B84)),_xll.VoseSimPercentile(Unc_3,$B84),NA())</f>
        <v>2343</v>
      </c>
    </row>
    <row r="85" spans="2:5" hidden="1" outlineLevel="1" x14ac:dyDescent="0.45">
      <c r="B85" s="64">
        <v>0.93</v>
      </c>
      <c r="C85" s="64">
        <f t="shared" si="1"/>
        <v>6.9999999999999951E-2</v>
      </c>
      <c r="D85" s="65" cm="1">
        <f t="array" aca="1" ref="D85" ca="1">IF(ISNUMBER(_xll.VoseSimPercentile(Fit_3,$B85)),_xll.VoseSimPercentile(Fit_3,$B85),NA())</f>
        <v>2224</v>
      </c>
      <c r="E85" s="65" cm="1">
        <f t="array" aca="1" ref="E85" ca="1">IF(ISNUMBER(_xll.VoseSimPercentile(Unc_3,$B85)),_xll.VoseSimPercentile(Unc_3,$B85),NA())</f>
        <v>2489</v>
      </c>
    </row>
    <row r="86" spans="2:5" hidden="1" outlineLevel="1" x14ac:dyDescent="0.45">
      <c r="B86" s="64">
        <v>0.95</v>
      </c>
      <c r="C86" s="64">
        <f t="shared" si="1"/>
        <v>5.0000000000000044E-2</v>
      </c>
      <c r="D86" s="65" cm="1">
        <f t="array" aca="1" ref="D86" ca="1">IF(ISNUMBER(_xll.VoseSimPercentile(Fit_3,$B86)),_xll.VoseSimPercentile(Fit_3,$B86),NA())</f>
        <v>2355</v>
      </c>
      <c r="E86" s="65" cm="1">
        <f t="array" aca="1" ref="E86" ca="1">IF(ISNUMBER(_xll.VoseSimPercentile(Unc_3,$B86)),_xll.VoseSimPercentile(Unc_3,$B86),NA())</f>
        <v>2673</v>
      </c>
    </row>
    <row r="87" spans="2:5" hidden="1" outlineLevel="1" x14ac:dyDescent="0.45">
      <c r="B87" s="64">
        <v>0.97</v>
      </c>
      <c r="C87" s="64">
        <f t="shared" si="1"/>
        <v>3.0000000000000027E-2</v>
      </c>
      <c r="D87" s="65" cm="1">
        <f t="array" aca="1" ref="D87" ca="1">IF(ISNUMBER(_xll.VoseSimPercentile(Fit_3,$B87)),_xll.VoseSimPercentile(Fit_3,$B87),NA())</f>
        <v>2551</v>
      </c>
      <c r="E87" s="65" cm="1">
        <f t="array" aca="1" ref="E87" ca="1">IF(ISNUMBER(_xll.VoseSimPercentile(Unc_3,$B87)),_xll.VoseSimPercentile(Unc_3,$B87),NA())</f>
        <v>3005</v>
      </c>
    </row>
    <row r="88" spans="2:5" hidden="1" outlineLevel="1" x14ac:dyDescent="0.45">
      <c r="B88" s="64">
        <v>0.99</v>
      </c>
      <c r="C88" s="64">
        <f t="shared" si="1"/>
        <v>1.0000000000000009E-2</v>
      </c>
      <c r="D88" s="65" cm="1">
        <f t="array" aca="1" ref="D88" ca="1">IF(ISNUMBER(_xll.VoseSimPercentile(Fit_3,$B88)),_xll.VoseSimPercentile(Fit_3,$B88),NA())</f>
        <v>2953</v>
      </c>
      <c r="E88" s="65" cm="1">
        <f t="array" aca="1" ref="E88" ca="1">IF(ISNUMBER(_xll.VoseSimPercentile(Unc_3,$B88)),_xll.VoseSimPercentile(Unc_3,$B88),NA())</f>
        <v>3601</v>
      </c>
    </row>
  </sheetData>
  <mergeCells count="4">
    <mergeCell ref="B32:G32"/>
    <mergeCell ref="B30:G30"/>
    <mergeCell ref="B31:G31"/>
    <mergeCell ref="B33:G33"/>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39:E88">
    <cfRule type="expression" dxfId="0" priority="3">
      <formula>ISNA(D39)</formula>
    </cfRule>
  </conditionalFormatting>
  <hyperlinks>
    <hyperlink ref="B4" location="'Forecast'!A1" display="◂  Forecast"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644D4-EDD9-4A2C-96C0-A6A7BFDB3ACE}">
  <dimension ref="A1:B1"/>
  <sheetViews>
    <sheetView workbookViewId="0"/>
  </sheetViews>
  <sheetFormatPr defaultRowHeight="14.25" x14ac:dyDescent="0.45"/>
  <sheetData>
    <row r="1" spans="1:2" x14ac:dyDescent="0.45">
      <c r="A1" s="70" t="s">
        <v>219</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83D08-CDF8-4FE7-8A24-DE2B86C09BD2}">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66574-2EA4-494C-BA95-C3C6C6DF4C2E}">
  <dimension ref="B3:B62"/>
  <sheetViews>
    <sheetView workbookViewId="0"/>
  </sheetViews>
  <sheetFormatPr defaultRowHeight="14.25" x14ac:dyDescent="0.45"/>
  <sheetData>
    <row r="3" spans="2:2" x14ac:dyDescent="0.45">
      <c r="B3">
        <v>99</v>
      </c>
    </row>
    <row r="4" spans="2:2" x14ac:dyDescent="0.45">
      <c r="B4">
        <v>419</v>
      </c>
    </row>
    <row r="5" spans="2:2" x14ac:dyDescent="0.45">
      <c r="B5">
        <v>579</v>
      </c>
    </row>
    <row r="6" spans="2:2" x14ac:dyDescent="0.45">
      <c r="B6">
        <v>460</v>
      </c>
    </row>
    <row r="7" spans="2:2" x14ac:dyDescent="0.45">
      <c r="B7">
        <v>268</v>
      </c>
    </row>
    <row r="8" spans="2:2" x14ac:dyDescent="0.45">
      <c r="B8">
        <v>107</v>
      </c>
    </row>
    <row r="9" spans="2:2" x14ac:dyDescent="0.45">
      <c r="B9">
        <v>45</v>
      </c>
    </row>
    <row r="10" spans="2:2" x14ac:dyDescent="0.45">
      <c r="B10">
        <v>16</v>
      </c>
    </row>
    <row r="11" spans="2:2" x14ac:dyDescent="0.45">
      <c r="B11">
        <v>4</v>
      </c>
    </row>
    <row r="12" spans="2:2" x14ac:dyDescent="0.45">
      <c r="B12">
        <v>3</v>
      </c>
    </row>
    <row r="13" spans="2:2" x14ac:dyDescent="0.45">
      <c r="B13">
        <v>170</v>
      </c>
    </row>
    <row r="14" spans="2:2" x14ac:dyDescent="0.45">
      <c r="B14">
        <v>660</v>
      </c>
    </row>
    <row r="15" spans="2:2" x14ac:dyDescent="0.45">
      <c r="B15">
        <v>617</v>
      </c>
    </row>
    <row r="16" spans="2:2" x14ac:dyDescent="0.45">
      <c r="B16">
        <v>328</v>
      </c>
    </row>
    <row r="17" spans="2:2" x14ac:dyDescent="0.45">
      <c r="B17">
        <v>147</v>
      </c>
    </row>
    <row r="18" spans="2:2" x14ac:dyDescent="0.45">
      <c r="B18">
        <v>49</v>
      </c>
    </row>
    <row r="19" spans="2:2" x14ac:dyDescent="0.45">
      <c r="B19">
        <v>16</v>
      </c>
    </row>
    <row r="20" spans="2:2" x14ac:dyDescent="0.45">
      <c r="B20">
        <v>10</v>
      </c>
    </row>
    <row r="21" spans="2:2" x14ac:dyDescent="0.45">
      <c r="B21">
        <v>2</v>
      </c>
    </row>
    <row r="22" spans="2:2" x14ac:dyDescent="0.45">
      <c r="B22">
        <v>1</v>
      </c>
    </row>
    <row r="23" spans="2:2" x14ac:dyDescent="0.45">
      <c r="B23">
        <v>203</v>
      </c>
    </row>
    <row r="24" spans="2:2" x14ac:dyDescent="0.45">
      <c r="B24">
        <v>651</v>
      </c>
    </row>
    <row r="25" spans="2:2" x14ac:dyDescent="0.45">
      <c r="B25">
        <v>628</v>
      </c>
    </row>
    <row r="26" spans="2:2" x14ac:dyDescent="0.45">
      <c r="B26">
        <v>335</v>
      </c>
    </row>
    <row r="27" spans="2:2" x14ac:dyDescent="0.45">
      <c r="B27">
        <v>130</v>
      </c>
    </row>
    <row r="28" spans="2:2" x14ac:dyDescent="0.45">
      <c r="B28">
        <v>38</v>
      </c>
    </row>
    <row r="29" spans="2:2" x14ac:dyDescent="0.45">
      <c r="B29">
        <v>12</v>
      </c>
    </row>
    <row r="30" spans="2:2" x14ac:dyDescent="0.45">
      <c r="B30">
        <v>1</v>
      </c>
    </row>
    <row r="31" spans="2:2" x14ac:dyDescent="0.45">
      <c r="B31">
        <v>1</v>
      </c>
    </row>
    <row r="32" spans="2:2" x14ac:dyDescent="0.45">
      <c r="B32">
        <v>1</v>
      </c>
    </row>
    <row r="33" spans="2:2" x14ac:dyDescent="0.45">
      <c r="B33">
        <v>252</v>
      </c>
    </row>
    <row r="34" spans="2:2" x14ac:dyDescent="0.45">
      <c r="B34">
        <v>690</v>
      </c>
    </row>
    <row r="35" spans="2:2" x14ac:dyDescent="0.45">
      <c r="B35">
        <v>570</v>
      </c>
    </row>
    <row r="36" spans="2:2" x14ac:dyDescent="0.45">
      <c r="B36">
        <v>312</v>
      </c>
    </row>
    <row r="37" spans="2:2" x14ac:dyDescent="0.45">
      <c r="B37">
        <v>107</v>
      </c>
    </row>
    <row r="38" spans="2:2" x14ac:dyDescent="0.45">
      <c r="B38">
        <v>36</v>
      </c>
    </row>
    <row r="39" spans="2:2" x14ac:dyDescent="0.45">
      <c r="B39">
        <v>20</v>
      </c>
    </row>
    <row r="40" spans="2:2" x14ac:dyDescent="0.45">
      <c r="B40">
        <v>8</v>
      </c>
    </row>
    <row r="41" spans="2:2" x14ac:dyDescent="0.45">
      <c r="B41">
        <v>2</v>
      </c>
    </row>
    <row r="42" spans="2:2" x14ac:dyDescent="0.45">
      <c r="B42">
        <v>3</v>
      </c>
    </row>
    <row r="43" spans="2:2" x14ac:dyDescent="0.45">
      <c r="B43">
        <v>50</v>
      </c>
    </row>
    <row r="44" spans="2:2" x14ac:dyDescent="0.45">
      <c r="B44">
        <v>422</v>
      </c>
    </row>
    <row r="45" spans="2:2" x14ac:dyDescent="0.45">
      <c r="B45">
        <v>596</v>
      </c>
    </row>
    <row r="46" spans="2:2" x14ac:dyDescent="0.45">
      <c r="B46">
        <v>478</v>
      </c>
    </row>
    <row r="47" spans="2:2" x14ac:dyDescent="0.45">
      <c r="B47">
        <v>262</v>
      </c>
    </row>
    <row r="48" spans="2:2" x14ac:dyDescent="0.45">
      <c r="B48">
        <v>125</v>
      </c>
    </row>
    <row r="49" spans="2:2" x14ac:dyDescent="0.45">
      <c r="B49">
        <v>43</v>
      </c>
    </row>
    <row r="50" spans="2:2" x14ac:dyDescent="0.45">
      <c r="B50">
        <v>17</v>
      </c>
    </row>
    <row r="51" spans="2:2" x14ac:dyDescent="0.45">
      <c r="B51">
        <v>5</v>
      </c>
    </row>
    <row r="52" spans="2:2" x14ac:dyDescent="0.45">
      <c r="B52">
        <v>2</v>
      </c>
    </row>
    <row r="53" spans="2:2" x14ac:dyDescent="0.45">
      <c r="B53">
        <v>261</v>
      </c>
    </row>
    <row r="54" spans="2:2" x14ac:dyDescent="0.45">
      <c r="B54">
        <v>599</v>
      </c>
    </row>
    <row r="55" spans="2:2" x14ac:dyDescent="0.45">
      <c r="B55">
        <v>530</v>
      </c>
    </row>
    <row r="56" spans="2:2" x14ac:dyDescent="0.45">
      <c r="B56">
        <v>337</v>
      </c>
    </row>
    <row r="57" spans="2:2" x14ac:dyDescent="0.45">
      <c r="B57">
        <v>158</v>
      </c>
    </row>
    <row r="58" spans="2:2" x14ac:dyDescent="0.45">
      <c r="B58">
        <v>69</v>
      </c>
    </row>
    <row r="59" spans="2:2" x14ac:dyDescent="0.45">
      <c r="B59">
        <v>31</v>
      </c>
    </row>
    <row r="60" spans="2:2" x14ac:dyDescent="0.45">
      <c r="B60">
        <v>10</v>
      </c>
    </row>
    <row r="61" spans="2:2" x14ac:dyDescent="0.45">
      <c r="B61">
        <v>1</v>
      </c>
    </row>
    <row r="62" spans="2:2" x14ac:dyDescent="0.45">
      <c r="B6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38E8E18D-281B-4D50-BAD7-E95164B68915}">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35</vt:i4>
      </vt:variant>
    </vt:vector>
  </HeadingPairs>
  <TitlesOfParts>
    <vt:vector size="43" baseType="lpstr">
      <vt:lpstr>About</vt:lpstr>
      <vt:lpstr>Inputs</vt:lpstr>
      <vt:lpstr>History</vt:lpstr>
      <vt:lpstr>Forecast</vt:lpstr>
      <vt:lpstr>Results</vt:lpstr>
      <vt:lpstr>ModelRiskDSN</vt:lpstr>
      <vt:lpstr>ModelRiskSYS1</vt:lpstr>
      <vt:lpstr>ModelRiskCharts</vt:lpstr>
      <vt:lpstr>B0u</vt:lpstr>
      <vt:lpstr>B1u</vt:lpstr>
      <vt:lpstr>Beta0</vt:lpstr>
      <vt:lpstr>Beta1</vt:lpstr>
      <vt:lpstr>Ch_a</vt:lpstr>
      <vt:lpstr>Ch_b</vt:lpstr>
      <vt:lpstr>Ch_c</vt:lpstr>
      <vt:lpstr>Checks</vt:lpstr>
      <vt:lpstr>Corr01</vt:lpstr>
      <vt:lpstr>Cov_b01</vt:lpstr>
      <vt:lpstr>Det_I</vt:lpstr>
      <vt:lpstr>Draw_1</vt:lpstr>
      <vt:lpstr>Draw_2</vt:lpstr>
      <vt:lpstr>Fit_1</vt:lpstr>
      <vt:lpstr>Fit_2</vt:lpstr>
      <vt:lpstr>Fit_3</vt:lpstr>
      <vt:lpstr>Inf_00</vt:lpstr>
      <vt:lpstr>Inf_01</vt:lpstr>
      <vt:lpstr>Inf_11</vt:lpstr>
      <vt:lpstr>LogL</vt:lpstr>
      <vt:lpstr>PolyaH</vt:lpstr>
      <vt:lpstr>Results!Print_Area</vt:lpstr>
      <vt:lpstr>Inputs!Print_Titles</vt:lpstr>
      <vt:lpstr>Results!Print_Titles</vt:lpstr>
      <vt:lpstr>Score0</vt:lpstr>
      <vt:lpstr>Score1</vt:lpstr>
      <vt:lpstr>SE_b0</vt:lpstr>
      <vt:lpstr>SE_b1</vt:lpstr>
      <vt:lpstr>Unc_1</vt:lpstr>
      <vt:lpstr>Unc_2</vt:lpstr>
      <vt:lpstr>Unc_3</vt:lpstr>
      <vt:lpstr>Var_b0</vt:lpstr>
      <vt:lpstr>Var_b1</vt:lpstr>
      <vt:lpstr>Wt</vt:lpstr>
      <vt:lpstr>Yr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GU-10 Pólya Regression Fitted to Accident Data</dc:title>
  <dc:subject>ModelRisk industry example library — General use</dc:subject>
  <dc:creator>Vose Software</dc:creator>
  <cp:keywords>ModelRisk; Monte Carlo; General use</cp:keywords>
  <dc:description>Sixteen years of sports accidents, a fitted Pólya regression, and the next three years with and without parameter uncertainty.</dc:description>
  <cp:lastModifiedBy>Timour Koupeev</cp:lastModifiedBy>
  <cp:lastPrinted>2026-10-07T13:34:27Z</cp:lastPrinted>
  <dcterms:created xsi:type="dcterms:W3CDTF">2026-10-07T13:33:44Z</dcterms:created>
  <dcterms:modified xsi:type="dcterms:W3CDTF">2026-10-07T13:34:28Z</dcterms:modified>
</cp:coreProperties>
</file>