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21DB4E5D-7558-4D8A-83A2-EA4989FFB3CF}"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Weeks" sheetId="3" r:id="rId3"/>
    <sheet name="Results" sheetId="4" r:id="rId4"/>
    <sheet name="ModelRiskDSN" sheetId="5" state="hidden" r:id="rId5"/>
    <sheet name="ModelRiskSYS1" sheetId="6" state="hidden" r:id="rId6"/>
    <sheet name="ModelRiskCharts" sheetId="7" state="hidden" r:id="rId7"/>
  </sheets>
  <definedNames>
    <definedName name="Checks">Weeks!$E$79:$E$80</definedName>
    <definedName name="ExpCalls">Weeks!$C$14:$C$63</definedName>
    <definedName name="ExpTotal">Weeks!$E$72</definedName>
    <definedName name="Gradient">Inputs!$D$12</definedName>
    <definedName name="Intercept">Inputs!$D$11</definedName>
    <definedName name="Level">Weeks!$E$8</definedName>
    <definedName name="Pois_1">Weeks!$D$14</definedName>
    <definedName name="Pois_10">Weeks!$D$23</definedName>
    <definedName name="Pois_11">Weeks!$D$24</definedName>
    <definedName name="Pois_12">Weeks!$D$25</definedName>
    <definedName name="Pois_13">Weeks!$D$26</definedName>
    <definedName name="Pois_14">Weeks!$D$27</definedName>
    <definedName name="Pois_15">Weeks!$D$28</definedName>
    <definedName name="Pois_16">Weeks!$D$29</definedName>
    <definedName name="Pois_17">Weeks!$D$30</definedName>
    <definedName name="Pois_18">Weeks!$D$31</definedName>
    <definedName name="Pois_19">Weeks!$D$32</definedName>
    <definedName name="Pois_2">Weeks!$D$15</definedName>
    <definedName name="Pois_20">Weeks!$D$33</definedName>
    <definedName name="Pois_21">Weeks!$D$34</definedName>
    <definedName name="Pois_22">Weeks!$D$35</definedName>
    <definedName name="Pois_23">Weeks!$D$36</definedName>
    <definedName name="Pois_24">Weeks!$D$37</definedName>
    <definedName name="Pois_25">Weeks!$D$38</definedName>
    <definedName name="Pois_26">Weeks!$D$39</definedName>
    <definedName name="Pois_27">Weeks!$D$40</definedName>
    <definedName name="Pois_28">Weeks!$D$41</definedName>
    <definedName name="Pois_29">Weeks!$D$42</definedName>
    <definedName name="Pois_3">Weeks!$D$16</definedName>
    <definedName name="Pois_30">Weeks!$D$43</definedName>
    <definedName name="Pois_31">Weeks!$D$44</definedName>
    <definedName name="Pois_32">Weeks!$D$45</definedName>
    <definedName name="Pois_33">Weeks!$D$46</definedName>
    <definedName name="Pois_34">Weeks!$D$47</definedName>
    <definedName name="Pois_35">Weeks!$D$48</definedName>
    <definedName name="Pois_36">Weeks!$D$49</definedName>
    <definedName name="Pois_37">Weeks!$D$50</definedName>
    <definedName name="Pois_38">Weeks!$D$51</definedName>
    <definedName name="Pois_39">Weeks!$D$52</definedName>
    <definedName name="Pois_4">Weeks!$D$17</definedName>
    <definedName name="Pois_40">Weeks!$D$53</definedName>
    <definedName name="Pois_41">Weeks!$D$54</definedName>
    <definedName name="Pois_42">Weeks!$D$55</definedName>
    <definedName name="Pois_43">Weeks!$D$56</definedName>
    <definedName name="Pois_44">Weeks!$D$57</definedName>
    <definedName name="Pois_45">Weeks!$D$58</definedName>
    <definedName name="Pois_46">Weeks!$D$59</definedName>
    <definedName name="Pois_47">Weeks!$D$60</definedName>
    <definedName name="Pois_48">Weeks!$D$61</definedName>
    <definedName name="Pois_49">Weeks!$D$62</definedName>
    <definedName name="Pois_5">Weeks!$D$18</definedName>
    <definedName name="Pois_50">Weeks!$D$63</definedName>
    <definedName name="Pois_6">Weeks!$D$19</definedName>
    <definedName name="Pois_7">Weeks!$D$20</definedName>
    <definedName name="Pois_8">Weeks!$D$21</definedName>
    <definedName name="Pois_9">Weeks!$D$22</definedName>
    <definedName name="PolS_1">Weeks!$F$14</definedName>
    <definedName name="PolS_10">Weeks!$F$23</definedName>
    <definedName name="PolS_11">Weeks!$F$24</definedName>
    <definedName name="PolS_12">Weeks!$F$25</definedName>
    <definedName name="PolS_13">Weeks!$F$26</definedName>
    <definedName name="PolS_14">Weeks!$F$27</definedName>
    <definedName name="PolS_15">Weeks!$F$28</definedName>
    <definedName name="PolS_16">Weeks!$F$29</definedName>
    <definedName name="PolS_17">Weeks!$F$30</definedName>
    <definedName name="PolS_18">Weeks!$F$31</definedName>
    <definedName name="PolS_19">Weeks!$F$32</definedName>
    <definedName name="PolS_2">Weeks!$F$15</definedName>
    <definedName name="PolS_20">Weeks!$F$33</definedName>
    <definedName name="PolS_21">Weeks!$F$34</definedName>
    <definedName name="PolS_22">Weeks!$F$35</definedName>
    <definedName name="PolS_23">Weeks!$F$36</definedName>
    <definedName name="PolS_24">Weeks!$F$37</definedName>
    <definedName name="PolS_25">Weeks!$F$38</definedName>
    <definedName name="PolS_26">Weeks!$F$39</definedName>
    <definedName name="PolS_27">Weeks!$F$40</definedName>
    <definedName name="PolS_28">Weeks!$F$41</definedName>
    <definedName name="PolS_29">Weeks!$F$42</definedName>
    <definedName name="PolS_3">Weeks!$F$16</definedName>
    <definedName name="PolS_30">Weeks!$F$43</definedName>
    <definedName name="PolS_31">Weeks!$F$44</definedName>
    <definedName name="PolS_32">Weeks!$F$45</definedName>
    <definedName name="PolS_33">Weeks!$F$46</definedName>
    <definedName name="PolS_34">Weeks!$F$47</definedName>
    <definedName name="PolS_35">Weeks!$F$48</definedName>
    <definedName name="PolS_36">Weeks!$F$49</definedName>
    <definedName name="PolS_37">Weeks!$F$50</definedName>
    <definedName name="PolS_38">Weeks!$F$51</definedName>
    <definedName name="PolS_39">Weeks!$F$52</definedName>
    <definedName name="PolS_4">Weeks!$F$17</definedName>
    <definedName name="PolS_40">Weeks!$F$53</definedName>
    <definedName name="PolS_41">Weeks!$F$54</definedName>
    <definedName name="PolS_42">Weeks!$F$55</definedName>
    <definedName name="PolS_43">Weeks!$F$56</definedName>
    <definedName name="PolS_44">Weeks!$F$57</definedName>
    <definedName name="PolS_45">Weeks!$F$58</definedName>
    <definedName name="PolS_46">Weeks!$F$59</definedName>
    <definedName name="PolS_47">Weeks!$F$60</definedName>
    <definedName name="PolS_48">Weeks!$F$61</definedName>
    <definedName name="PolS_49">Weeks!$F$62</definedName>
    <definedName name="PolS_5">Weeks!$F$18</definedName>
    <definedName name="PolS_50">Weeks!$F$63</definedName>
    <definedName name="PolS_6">Weeks!$F$19</definedName>
    <definedName name="PolS_7">Weeks!$F$20</definedName>
    <definedName name="PolS_8">Weeks!$F$21</definedName>
    <definedName name="PolS_9">Weeks!$F$22</definedName>
    <definedName name="PolW_1">Weeks!$E$14</definedName>
    <definedName name="PolW_10">Weeks!$E$23</definedName>
    <definedName name="PolW_11">Weeks!$E$24</definedName>
    <definedName name="PolW_12">Weeks!$E$25</definedName>
    <definedName name="PolW_13">Weeks!$E$26</definedName>
    <definedName name="PolW_14">Weeks!$E$27</definedName>
    <definedName name="PolW_15">Weeks!$E$28</definedName>
    <definedName name="PolW_16">Weeks!$E$29</definedName>
    <definedName name="PolW_17">Weeks!$E$30</definedName>
    <definedName name="PolW_18">Weeks!$E$31</definedName>
    <definedName name="PolW_19">Weeks!$E$32</definedName>
    <definedName name="PolW_2">Weeks!$E$15</definedName>
    <definedName name="PolW_20">Weeks!$E$33</definedName>
    <definedName name="PolW_21">Weeks!$E$34</definedName>
    <definedName name="PolW_22">Weeks!$E$35</definedName>
    <definedName name="PolW_23">Weeks!$E$36</definedName>
    <definedName name="PolW_24">Weeks!$E$37</definedName>
    <definedName name="PolW_25">Weeks!$E$38</definedName>
    <definedName name="PolW_26">Weeks!$E$39</definedName>
    <definedName name="PolW_27">Weeks!$E$40</definedName>
    <definedName name="PolW_28">Weeks!$E$41</definedName>
    <definedName name="PolW_29">Weeks!$E$42</definedName>
    <definedName name="PolW_3">Weeks!$E$16</definedName>
    <definedName name="PolW_30">Weeks!$E$43</definedName>
    <definedName name="PolW_31">Weeks!$E$44</definedName>
    <definedName name="PolW_32">Weeks!$E$45</definedName>
    <definedName name="PolW_33">Weeks!$E$46</definedName>
    <definedName name="PolW_34">Weeks!$E$47</definedName>
    <definedName name="PolW_35">Weeks!$E$48</definedName>
    <definedName name="PolW_36">Weeks!$E$49</definedName>
    <definedName name="PolW_37">Weeks!$E$50</definedName>
    <definedName name="PolW_38">Weeks!$E$51</definedName>
    <definedName name="PolW_39">Weeks!$E$52</definedName>
    <definedName name="PolW_4">Weeks!$E$17</definedName>
    <definedName name="PolW_40">Weeks!$E$53</definedName>
    <definedName name="PolW_41">Weeks!$E$54</definedName>
    <definedName name="PolW_42">Weeks!$E$55</definedName>
    <definedName name="PolW_43">Weeks!$E$56</definedName>
    <definedName name="PolW_44">Weeks!$E$57</definedName>
    <definedName name="PolW_45">Weeks!$E$58</definedName>
    <definedName name="PolW_46">Weeks!$E$59</definedName>
    <definedName name="PolW_47">Weeks!$E$60</definedName>
    <definedName name="PolW_48">Weeks!$E$61</definedName>
    <definedName name="PolW_49">Weeks!$E$62</definedName>
    <definedName name="PolW_5">Weeks!$E$18</definedName>
    <definedName name="PolW_50">Weeks!$E$63</definedName>
    <definedName name="PolW_6">Weeks!$E$19</definedName>
    <definedName name="PolW_7">Weeks!$E$20</definedName>
    <definedName name="PolW_8">Weeks!$E$21</definedName>
    <definedName name="PolW_9">Weeks!$E$22</definedName>
    <definedName name="PolyaH">Inputs!$D$17</definedName>
    <definedName name="_xlnm.Print_Area" localSheetId="3">Results!$A$1:$R$55</definedName>
    <definedName name="_xlnm.Print_Titles" localSheetId="1">Inputs!$1:$4</definedName>
    <definedName name="_xlnm.Print_Titles" localSheetId="3">Results!$1:$4</definedName>
    <definedName name="SD_Pois">Weeks!$E$73</definedName>
    <definedName name="SD_PolS">Weeks!$E$75</definedName>
    <definedName name="SD_PolW">Weeks!$E$74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otPois">Weeks!$E$69</definedName>
    <definedName name="TotPolS">Weeks!$E$71</definedName>
    <definedName name="TotPolW">Weeks!$E$70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0" i="4" l="1"/>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E80"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E79" i="3" s="1"/>
  <c r="C18" i="3"/>
  <c r="C17" i="3"/>
  <c r="C16" i="3"/>
  <c r="C15" i="3"/>
  <c r="C14" i="3"/>
  <c r="B7" i="4"/>
  <c r="D16" i="3" a="1"/>
  <c r="D18" i="3" a="1"/>
  <c r="E8" i="3" a="1"/>
  <c r="D27" i="3" a="1"/>
  <c r="D39" i="3" a="1"/>
  <c r="D19" i="3" a="1"/>
  <c r="D61" i="3" a="1"/>
  <c r="D40" i="3" a="1"/>
  <c r="D23" i="3" a="1"/>
  <c r="E32" i="3" a="1"/>
  <c r="D56" i="3" a="1"/>
  <c r="D54" i="3" a="1"/>
  <c r="E55" i="3" a="1"/>
  <c r="E42" i="3" a="1"/>
  <c r="D44" i="3" a="1"/>
  <c r="D58" i="3" a="1"/>
  <c r="D29" i="3" a="1"/>
  <c r="D48" i="3" a="1"/>
  <c r="E58" i="3" a="1"/>
  <c r="D62" i="3" a="1"/>
  <c r="E25" i="3" a="1"/>
  <c r="E17" i="3" a="1"/>
  <c r="D37" i="3" a="1"/>
  <c r="D14" i="3" a="1"/>
  <c r="D59" i="3" a="1"/>
  <c r="D41" i="3" a="1"/>
  <c r="D60" i="3" a="1"/>
  <c r="E34" i="3" a="1"/>
  <c r="D34" i="3" a="1"/>
  <c r="D20" i="3" a="1"/>
  <c r="D57" i="3" a="1"/>
  <c r="D38" i="3" a="1"/>
  <c r="D46" i="3" a="1"/>
  <c r="D55" i="3" a="1"/>
  <c r="E49" i="3" a="1"/>
  <c r="E63" i="3" a="1"/>
  <c r="D43" i="3" a="1"/>
  <c r="D31" i="3" a="1"/>
  <c r="D17" i="3" a="1"/>
  <c r="D35" i="3" a="1"/>
  <c r="D53" i="3" a="1"/>
  <c r="E16" i="3" a="1"/>
  <c r="E40" i="3" a="1"/>
  <c r="E50" i="3" a="1"/>
  <c r="E46" i="3" a="1"/>
  <c r="D33" i="3" a="1"/>
  <c r="D28" i="3" a="1"/>
  <c r="E23" i="3" a="1"/>
  <c r="D21" i="3" a="1"/>
  <c r="E22" i="3" a="1"/>
  <c r="E15" i="3" a="1"/>
  <c r="E45" i="3" a="1"/>
  <c r="E57" i="3" a="1"/>
  <c r="E39" i="3" a="1"/>
  <c r="D63" i="3" a="1"/>
  <c r="E52" i="3" a="1"/>
  <c r="D52" i="3" a="1"/>
  <c r="D15" i="3" a="1"/>
  <c r="E54" i="3" a="1"/>
  <c r="E51" i="3" a="1"/>
  <c r="E35" i="3" a="1"/>
  <c r="E41" i="3" a="1"/>
  <c r="D36" i="3" a="1"/>
  <c r="D45" i="3" a="1"/>
  <c r="D32" i="3" a="1"/>
  <c r="D30" i="3" a="1"/>
  <c r="D25" i="3" a="1"/>
  <c r="E26" i="3" a="1"/>
  <c r="E24" i="3" a="1"/>
  <c r="D26" i="3" a="1"/>
  <c r="D24" i="3" a="1"/>
  <c r="D51" i="3" a="1"/>
  <c r="D22" i="3" a="1"/>
  <c r="E31" i="3" a="1"/>
  <c r="D50" i="3" a="1"/>
  <c r="E47" i="3" a="1"/>
  <c r="E62" i="3" a="1"/>
  <c r="E38" i="3" a="1"/>
  <c r="E48" i="3" a="1"/>
  <c r="D42" i="3" a="1"/>
  <c r="E61" i="3" a="1"/>
  <c r="E37" i="3" a="1"/>
  <c r="E29" i="3" a="1"/>
  <c r="E18" i="3" a="1"/>
  <c r="E56" i="3" a="1"/>
  <c r="E33" i="3" a="1"/>
  <c r="D47" i="3" a="1"/>
  <c r="E59" i="3" a="1"/>
  <c r="E30" i="3" a="1"/>
  <c r="D49" i="3" a="1"/>
  <c r="E44" i="3" a="1"/>
  <c r="E36" i="3" a="1"/>
  <c r="E36" i="3" l="1"/>
  <c r="E44" i="3"/>
  <c r="D49" i="3"/>
  <c r="E30" i="3"/>
  <c r="E59" i="3"/>
  <c r="D47" i="3"/>
  <c r="E33" i="3"/>
  <c r="E56" i="3"/>
  <c r="E18" i="3"/>
  <c r="E29" i="3"/>
  <c r="E37" i="3"/>
  <c r="E61" i="3"/>
  <c r="D42" i="3"/>
  <c r="E48" i="3"/>
  <c r="E38" i="3"/>
  <c r="E62" i="3"/>
  <c r="E47" i="3"/>
  <c r="D50" i="3"/>
  <c r="E31" i="3"/>
  <c r="D22" i="3"/>
  <c r="D51" i="3"/>
  <c r="D24" i="3"/>
  <c r="D26" i="3"/>
  <c r="E24" i="3"/>
  <c r="E26" i="3"/>
  <c r="D25" i="3"/>
  <c r="D30" i="3"/>
  <c r="D32" i="3"/>
  <c r="D45" i="3"/>
  <c r="D36" i="3"/>
  <c r="E41" i="3"/>
  <c r="E35" i="3"/>
  <c r="E51" i="3"/>
  <c r="E54" i="3"/>
  <c r="D15" i="3"/>
  <c r="D52" i="3"/>
  <c r="E52" i="3"/>
  <c r="D63" i="3"/>
  <c r="E39" i="3"/>
  <c r="E57" i="3"/>
  <c r="E45" i="3"/>
  <c r="E15" i="3"/>
  <c r="E22" i="3"/>
  <c r="D21" i="3"/>
  <c r="E23" i="3"/>
  <c r="D28" i="3"/>
  <c r="D33" i="3"/>
  <c r="E46" i="3"/>
  <c r="E50" i="3"/>
  <c r="E40" i="3"/>
  <c r="E16" i="3"/>
  <c r="D53" i="3"/>
  <c r="D35" i="3"/>
  <c r="D17" i="3"/>
  <c r="D31" i="3"/>
  <c r="D43" i="3"/>
  <c r="E63" i="3"/>
  <c r="E49" i="3"/>
  <c r="D55" i="3"/>
  <c r="D46" i="3"/>
  <c r="D38" i="3"/>
  <c r="D57" i="3"/>
  <c r="D20" i="3"/>
  <c r="D34" i="3"/>
  <c r="E34" i="3"/>
  <c r="D60" i="3"/>
  <c r="D41" i="3"/>
  <c r="D59" i="3"/>
  <c r="D14" i="3"/>
  <c r="D37" i="3"/>
  <c r="E17" i="3"/>
  <c r="E25" i="3"/>
  <c r="D62" i="3"/>
  <c r="E58" i="3"/>
  <c r="D48" i="3"/>
  <c r="D29" i="3"/>
  <c r="D58" i="3"/>
  <c r="D44" i="3"/>
  <c r="E42" i="3"/>
  <c r="E55" i="3"/>
  <c r="D54" i="3"/>
  <c r="D56" i="3"/>
  <c r="E32" i="3"/>
  <c r="D23" i="3"/>
  <c r="D40" i="3"/>
  <c r="D61" i="3"/>
  <c r="D19" i="3"/>
  <c r="D39" i="3"/>
  <c r="D27" i="3"/>
  <c r="E8" i="3"/>
  <c r="D18" i="3"/>
  <c r="D16" i="3"/>
  <c r="E73" i="3"/>
  <c r="D12" i="4" s="1"/>
  <c r="E72" i="3"/>
  <c r="D16" i="4" s="1"/>
  <c r="E75" i="3"/>
  <c r="D14" i="4" s="1"/>
  <c r="C64" i="3"/>
  <c r="E74" i="3"/>
  <c r="D13" i="4" s="1"/>
  <c r="C149" i="4" a="1"/>
  <c r="F149" i="4" a="1"/>
  <c r="E149" i="4" a="1"/>
  <c r="D149" i="4" a="1"/>
  <c r="D124" i="4" a="1"/>
  <c r="C124" i="4" a="1"/>
  <c r="F124" i="4" a="1"/>
  <c r="E124" i="4" a="1"/>
  <c r="F159" i="4" a="1"/>
  <c r="C159" i="4" a="1"/>
  <c r="D159" i="4" a="1"/>
  <c r="E159" i="4" a="1"/>
  <c r="C155" i="4" a="1"/>
  <c r="E155" i="4" a="1"/>
  <c r="D155" i="4" a="1"/>
  <c r="F155" i="4" a="1"/>
  <c r="D148" i="4" a="1"/>
  <c r="E148" i="4" a="1"/>
  <c r="F148" i="4" a="1"/>
  <c r="C148" i="4" a="1"/>
  <c r="E129" i="4" a="1"/>
  <c r="D129" i="4" a="1"/>
  <c r="C129" i="4" a="1"/>
  <c r="F129" i="4" a="1"/>
  <c r="D114" i="4" a="1"/>
  <c r="C114" i="4" a="1"/>
  <c r="F114" i="4" a="1"/>
  <c r="E114" i="4" a="1"/>
  <c r="E154" i="4" a="1"/>
  <c r="D154" i="4" a="1"/>
  <c r="C154" i="4" a="1"/>
  <c r="F154" i="4" a="1"/>
  <c r="E140" i="4" a="1"/>
  <c r="D140" i="4" a="1"/>
  <c r="F140" i="4" a="1"/>
  <c r="C140" i="4" a="1"/>
  <c r="F147" i="4" a="1"/>
  <c r="E147" i="4" a="1"/>
  <c r="D147" i="4" a="1"/>
  <c r="C147" i="4" a="1"/>
  <c r="C117" i="4" a="1"/>
  <c r="F117" i="4" a="1"/>
  <c r="E117" i="4" a="1"/>
  <c r="D117" i="4" a="1"/>
  <c r="D121" i="4" a="1"/>
  <c r="F121" i="4" a="1"/>
  <c r="E121" i="4" a="1"/>
  <c r="C121" i="4" a="1"/>
  <c r="E131" i="4" a="1"/>
  <c r="F131" i="4" a="1"/>
  <c r="C131" i="4" a="1"/>
  <c r="D131" i="4" a="1"/>
  <c r="D151" i="4" a="1"/>
  <c r="C151" i="4" a="1"/>
  <c r="F151" i="4" a="1"/>
  <c r="E151" i="4" a="1"/>
  <c r="C120" i="4" a="1"/>
  <c r="D120" i="4" a="1"/>
  <c r="E120" i="4" a="1"/>
  <c r="F120" i="4" a="1"/>
  <c r="C152" i="4" a="1"/>
  <c r="D152" i="4" a="1"/>
  <c r="E152" i="4" a="1"/>
  <c r="F152" i="4" a="1"/>
  <c r="E145" i="4" a="1"/>
  <c r="D145" i="4" a="1"/>
  <c r="C145" i="4" a="1"/>
  <c r="F145" i="4" a="1"/>
  <c r="F158" i="4" a="1"/>
  <c r="E158" i="4" a="1"/>
  <c r="C158" i="4" a="1"/>
  <c r="D158" i="4" a="1"/>
  <c r="D128" i="4" a="1"/>
  <c r="C128" i="4" a="1"/>
  <c r="E128" i="4" a="1"/>
  <c r="F128" i="4" a="1"/>
  <c r="E122" i="4" a="1"/>
  <c r="F122" i="4" a="1"/>
  <c r="D122" i="4" a="1"/>
  <c r="C122" i="4" a="1"/>
  <c r="F115" i="4" a="1"/>
  <c r="C115" i="4" a="1"/>
  <c r="E115" i="4" a="1"/>
  <c r="D115" i="4" a="1"/>
  <c r="E141" i="4" a="1"/>
  <c r="D141" i="4" a="1"/>
  <c r="C141" i="4" a="1"/>
  <c r="F141" i="4" a="1"/>
  <c r="D150" i="4" a="1"/>
  <c r="F150" i="4" a="1"/>
  <c r="E150" i="4" a="1"/>
  <c r="C150" i="4" a="1"/>
  <c r="D144" i="4" a="1"/>
  <c r="F144" i="4" a="1"/>
  <c r="E144" i="4" a="1"/>
  <c r="C144" i="4" a="1"/>
  <c r="D134" i="4" a="1"/>
  <c r="C134" i="4" a="1"/>
  <c r="F134" i="4" a="1"/>
  <c r="E134" i="4" a="1"/>
  <c r="D137" i="4" a="1"/>
  <c r="C137" i="4" a="1"/>
  <c r="E137" i="4" a="1"/>
  <c r="F137" i="4" a="1"/>
  <c r="F113" i="4" a="1"/>
  <c r="C113" i="4" a="1"/>
  <c r="E113" i="4" a="1"/>
  <c r="D113" i="4" a="1"/>
  <c r="C157" i="4" a="1"/>
  <c r="F157" i="4" a="1"/>
  <c r="E157" i="4" a="1"/>
  <c r="D157" i="4" a="1"/>
  <c r="E139" i="4" a="1"/>
  <c r="D139" i="4" a="1"/>
  <c r="F139" i="4" a="1"/>
  <c r="C139" i="4" a="1"/>
  <c r="F146" i="4" a="1"/>
  <c r="E146" i="4" a="1"/>
  <c r="D146" i="4" a="1"/>
  <c r="C146" i="4" a="1"/>
  <c r="F123" i="4" a="1"/>
  <c r="E123" i="4" a="1"/>
  <c r="D123" i="4" a="1"/>
  <c r="C123" i="4" a="1"/>
  <c r="C135" i="4" a="1"/>
  <c r="D135" i="4" a="1"/>
  <c r="F135" i="4" a="1"/>
  <c r="E135" i="4" a="1"/>
  <c r="D162" i="4" a="1"/>
  <c r="C162" i="4" a="1"/>
  <c r="E162" i="4" a="1"/>
  <c r="F162" i="4" a="1"/>
  <c r="F127" i="4" a="1"/>
  <c r="D127" i="4" a="1"/>
  <c r="C127" i="4" a="1"/>
  <c r="E127" i="4" a="1"/>
  <c r="D116" i="4" a="1"/>
  <c r="E116" i="4" a="1"/>
  <c r="C116" i="4" a="1"/>
  <c r="F116" i="4" a="1"/>
  <c r="F156" i="4" a="1"/>
  <c r="D156" i="4" a="1"/>
  <c r="E156" i="4" a="1"/>
  <c r="C156" i="4" a="1"/>
  <c r="D136" i="4" a="1"/>
  <c r="C136" i="4" a="1"/>
  <c r="E136" i="4" a="1"/>
  <c r="F136" i="4" a="1"/>
  <c r="C143" i="4" a="1"/>
  <c r="F143" i="4" a="1"/>
  <c r="E143" i="4" a="1"/>
  <c r="D143" i="4" a="1"/>
  <c r="C160" i="4" a="1"/>
  <c r="F160" i="4" a="1"/>
  <c r="E160" i="4" a="1"/>
  <c r="D160" i="4" a="1"/>
  <c r="E125" i="4" a="1"/>
  <c r="F125" i="4" a="1"/>
  <c r="D125" i="4" a="1"/>
  <c r="C125" i="4" a="1"/>
  <c r="F132" i="4" a="1"/>
  <c r="E132" i="4" a="1"/>
  <c r="D132" i="4" a="1"/>
  <c r="C132" i="4" a="1"/>
  <c r="E130" i="4" a="1"/>
  <c r="D130" i="4" a="1"/>
  <c r="C130" i="4" a="1"/>
  <c r="F130" i="4" a="1"/>
  <c r="D119" i="4" a="1"/>
  <c r="C119" i="4" a="1"/>
  <c r="F119" i="4" a="1"/>
  <c r="E119" i="4" a="1"/>
  <c r="D118" i="4" a="1"/>
  <c r="C118" i="4" a="1"/>
  <c r="F118" i="4" a="1"/>
  <c r="E118" i="4" a="1"/>
  <c r="D142" i="4" a="1"/>
  <c r="F142" i="4" a="1"/>
  <c r="C142" i="4" a="1"/>
  <c r="E142" i="4" a="1"/>
  <c r="F133" i="4" a="1"/>
  <c r="E133" i="4" a="1"/>
  <c r="C133" i="4" a="1"/>
  <c r="D133" i="4" a="1"/>
  <c r="D138" i="4" a="1"/>
  <c r="F138" i="4" a="1"/>
  <c r="C138" i="4" a="1"/>
  <c r="E138" i="4" a="1"/>
  <c r="E161" i="4" a="1"/>
  <c r="F161" i="4" a="1"/>
  <c r="D161" i="4" a="1"/>
  <c r="C161" i="4" a="1"/>
  <c r="F153" i="4" a="1"/>
  <c r="E153" i="4" a="1"/>
  <c r="D153" i="4" a="1"/>
  <c r="C153" i="4" a="1"/>
  <c r="D126" i="4" a="1"/>
  <c r="C126" i="4" a="1"/>
  <c r="F126" i="4" a="1"/>
  <c r="E126" i="4" a="1"/>
  <c r="F20" i="3" a="1"/>
  <c r="F19" i="3" a="1"/>
  <c r="E53" i="3" a="1"/>
  <c r="F45" i="3" a="1"/>
  <c r="F44" i="3" a="1"/>
  <c r="F36" i="3" a="1"/>
  <c r="E19" i="3" a="1"/>
  <c r="F53" i="3" a="1"/>
  <c r="F59" i="3" a="1"/>
  <c r="F54" i="3" a="1"/>
  <c r="E43" i="3" a="1"/>
  <c r="F28" i="3" a="1"/>
  <c r="F37" i="3" a="1"/>
  <c r="E27" i="3" a="1"/>
  <c r="F35" i="3" a="1"/>
  <c r="E20" i="3" a="1"/>
  <c r="E28" i="3" a="1"/>
  <c r="E21" i="3" a="1"/>
  <c r="E14" i="3" a="1"/>
  <c r="F51" i="3" a="1"/>
  <c r="F40" i="3" a="1"/>
  <c r="F60" i="3" a="1"/>
  <c r="F15" i="3" a="1"/>
  <c r="F24" i="3" a="1"/>
  <c r="F27" i="3" a="1"/>
  <c r="F29" i="3" a="1"/>
  <c r="E60" i="3" a="1"/>
  <c r="F55" i="3" a="1"/>
  <c r="F43" i="3" a="1"/>
  <c r="F21" i="3" a="1"/>
  <c r="F16" i="3" a="1"/>
  <c r="E126" i="4" l="1"/>
  <c r="F126" i="4"/>
  <c r="C126" i="4"/>
  <c r="D126" i="4"/>
  <c r="C153" i="4"/>
  <c r="D153" i="4"/>
  <c r="E153" i="4"/>
  <c r="F153" i="4"/>
  <c r="C161" i="4"/>
  <c r="D161" i="4"/>
  <c r="F161" i="4"/>
  <c r="E161" i="4"/>
  <c r="E138" i="4"/>
  <c r="C138" i="4"/>
  <c r="F138" i="4"/>
  <c r="D138" i="4"/>
  <c r="D133" i="4"/>
  <c r="C133" i="4"/>
  <c r="E133" i="4"/>
  <c r="F133" i="4"/>
  <c r="E142" i="4"/>
  <c r="C142" i="4"/>
  <c r="F142" i="4"/>
  <c r="D142" i="4"/>
  <c r="E118" i="4"/>
  <c r="F118" i="4"/>
  <c r="C118" i="4"/>
  <c r="D118" i="4"/>
  <c r="E119" i="4"/>
  <c r="F119" i="4"/>
  <c r="C119" i="4"/>
  <c r="D119" i="4"/>
  <c r="F130" i="4"/>
  <c r="C130" i="4"/>
  <c r="D130" i="4"/>
  <c r="E130" i="4"/>
  <c r="C132" i="4"/>
  <c r="D132" i="4"/>
  <c r="E132" i="4"/>
  <c r="F132" i="4"/>
  <c r="C125" i="4"/>
  <c r="D125" i="4"/>
  <c r="F125" i="4"/>
  <c r="E125" i="4"/>
  <c r="D160" i="4"/>
  <c r="E160" i="4"/>
  <c r="F160" i="4"/>
  <c r="C160" i="4"/>
  <c r="D143" i="4"/>
  <c r="E143" i="4"/>
  <c r="F143" i="4"/>
  <c r="C143" i="4"/>
  <c r="F136" i="4"/>
  <c r="E136" i="4"/>
  <c r="C136" i="4"/>
  <c r="D136" i="4"/>
  <c r="C156" i="4"/>
  <c r="E156" i="4"/>
  <c r="D156" i="4"/>
  <c r="F156" i="4"/>
  <c r="F116" i="4"/>
  <c r="C116" i="4"/>
  <c r="E116" i="4"/>
  <c r="D116" i="4"/>
  <c r="E127" i="4"/>
  <c r="C127" i="4"/>
  <c r="D127" i="4"/>
  <c r="F127" i="4"/>
  <c r="F162" i="4"/>
  <c r="E162" i="4"/>
  <c r="C162" i="4"/>
  <c r="D162" i="4"/>
  <c r="E135" i="4"/>
  <c r="F135" i="4"/>
  <c r="D135" i="4"/>
  <c r="C135" i="4"/>
  <c r="C123" i="4"/>
  <c r="D123" i="4"/>
  <c r="E123" i="4"/>
  <c r="F123" i="4"/>
  <c r="C146" i="4"/>
  <c r="D146" i="4"/>
  <c r="E146" i="4"/>
  <c r="F146" i="4"/>
  <c r="C139" i="4"/>
  <c r="F139" i="4"/>
  <c r="D139" i="4"/>
  <c r="E139" i="4"/>
  <c r="D157" i="4"/>
  <c r="E157" i="4"/>
  <c r="F157" i="4"/>
  <c r="C157" i="4"/>
  <c r="D113" i="4"/>
  <c r="E113" i="4"/>
  <c r="C113" i="4"/>
  <c r="F113" i="4"/>
  <c r="F137" i="4"/>
  <c r="E137" i="4"/>
  <c r="C137" i="4"/>
  <c r="D137" i="4"/>
  <c r="E134" i="4"/>
  <c r="F134" i="4"/>
  <c r="C134" i="4"/>
  <c r="D134" i="4"/>
  <c r="C144" i="4"/>
  <c r="E144" i="4"/>
  <c r="F144" i="4"/>
  <c r="D144" i="4"/>
  <c r="C150" i="4"/>
  <c r="E150" i="4"/>
  <c r="F150" i="4"/>
  <c r="D150" i="4"/>
  <c r="F141" i="4"/>
  <c r="C141" i="4"/>
  <c r="D141" i="4"/>
  <c r="E141" i="4"/>
  <c r="D115" i="4"/>
  <c r="E115" i="4"/>
  <c r="C115" i="4"/>
  <c r="F115" i="4"/>
  <c r="C122" i="4"/>
  <c r="D122" i="4"/>
  <c r="F122" i="4"/>
  <c r="E122" i="4"/>
  <c r="F128" i="4"/>
  <c r="E128" i="4"/>
  <c r="C128" i="4"/>
  <c r="D128" i="4"/>
  <c r="D158" i="4"/>
  <c r="C158" i="4"/>
  <c r="E158" i="4"/>
  <c r="F158" i="4"/>
  <c r="F145" i="4"/>
  <c r="C145" i="4"/>
  <c r="D145" i="4"/>
  <c r="E145" i="4"/>
  <c r="F152" i="4"/>
  <c r="E152" i="4"/>
  <c r="D152" i="4"/>
  <c r="C152" i="4"/>
  <c r="F120" i="4"/>
  <c r="E120" i="4"/>
  <c r="D120" i="4"/>
  <c r="C120" i="4"/>
  <c r="E151" i="4"/>
  <c r="F151" i="4"/>
  <c r="C151" i="4"/>
  <c r="D151" i="4"/>
  <c r="D131" i="4"/>
  <c r="C131" i="4"/>
  <c r="F131" i="4"/>
  <c r="E131" i="4"/>
  <c r="C121" i="4"/>
  <c r="E121" i="4"/>
  <c r="F121" i="4"/>
  <c r="D121" i="4"/>
  <c r="D117" i="4"/>
  <c r="E117" i="4"/>
  <c r="F117" i="4"/>
  <c r="C117" i="4"/>
  <c r="C147" i="4"/>
  <c r="D147" i="4"/>
  <c r="E147" i="4"/>
  <c r="F147" i="4"/>
  <c r="C140" i="4"/>
  <c r="F140" i="4"/>
  <c r="D140" i="4"/>
  <c r="E140" i="4"/>
  <c r="F154" i="4"/>
  <c r="C154" i="4"/>
  <c r="D154" i="4"/>
  <c r="E154" i="4"/>
  <c r="E114" i="4"/>
  <c r="F114" i="4"/>
  <c r="C114" i="4"/>
  <c r="D114" i="4"/>
  <c r="F129" i="4"/>
  <c r="C129" i="4"/>
  <c r="D129" i="4"/>
  <c r="E129" i="4"/>
  <c r="C148" i="4"/>
  <c r="F148" i="4"/>
  <c r="E148" i="4"/>
  <c r="D148" i="4"/>
  <c r="F155" i="4"/>
  <c r="D155" i="4"/>
  <c r="E155" i="4"/>
  <c r="C155" i="4"/>
  <c r="E159" i="4"/>
  <c r="D159" i="4"/>
  <c r="C159" i="4"/>
  <c r="F159" i="4"/>
  <c r="E124" i="4"/>
  <c r="F124" i="4"/>
  <c r="C124" i="4"/>
  <c r="D124" i="4"/>
  <c r="D149" i="4"/>
  <c r="E149" i="4"/>
  <c r="F149" i="4"/>
  <c r="C149" i="4"/>
  <c r="F16" i="3"/>
  <c r="F21" i="3"/>
  <c r="F43" i="3"/>
  <c r="F55" i="3"/>
  <c r="E60" i="3"/>
  <c r="F29" i="3"/>
  <c r="F27" i="3"/>
  <c r="F24" i="3"/>
  <c r="F15" i="3"/>
  <c r="F60" i="3"/>
  <c r="F40" i="3"/>
  <c r="F51" i="3"/>
  <c r="E14" i="3"/>
  <c r="E21" i="3"/>
  <c r="E28" i="3"/>
  <c r="E20" i="3"/>
  <c r="F35" i="3"/>
  <c r="E27" i="3"/>
  <c r="F37" i="3"/>
  <c r="F28" i="3"/>
  <c r="E43" i="3"/>
  <c r="F54" i="3"/>
  <c r="F59" i="3"/>
  <c r="F53" i="3"/>
  <c r="E19" i="3"/>
  <c r="F36" i="3"/>
  <c r="F44" i="3"/>
  <c r="F45" i="3"/>
  <c r="E53" i="3"/>
  <c r="F19" i="3"/>
  <c r="F20" i="3"/>
  <c r="D64" i="3"/>
  <c r="E69" i="3" s="1" a="1"/>
  <c r="E69" i="3" s="1"/>
  <c r="C167" i="4" a="1"/>
  <c r="D167" i="4" a="1"/>
  <c r="F167" i="4" a="1"/>
  <c r="E167" i="4" a="1"/>
  <c r="E166" i="4" a="1"/>
  <c r="F166" i="4" a="1"/>
  <c r="D166" i="4" a="1"/>
  <c r="C166" i="4" a="1"/>
  <c r="E186" i="4" a="1"/>
  <c r="C186" i="4" a="1"/>
  <c r="D186" i="4" a="1"/>
  <c r="F186" i="4" a="1"/>
  <c r="F172" i="4" a="1"/>
  <c r="E172" i="4" a="1"/>
  <c r="D172" i="4" a="1"/>
  <c r="C172" i="4" a="1"/>
  <c r="F187" i="4" a="1"/>
  <c r="E187" i="4" a="1"/>
  <c r="D187" i="4" a="1"/>
  <c r="C187" i="4" a="1"/>
  <c r="C194" i="4" a="1"/>
  <c r="D194" i="4" a="1"/>
  <c r="F194" i="4" a="1"/>
  <c r="E194" i="4" a="1"/>
  <c r="E191" i="4" a="1"/>
  <c r="F191" i="4" a="1"/>
  <c r="C191" i="4" a="1"/>
  <c r="D191" i="4" a="1"/>
  <c r="E188" i="4" a="1"/>
  <c r="D188" i="4" a="1"/>
  <c r="C188" i="4" a="1"/>
  <c r="F188" i="4" a="1"/>
  <c r="E195" i="4" a="1"/>
  <c r="D195" i="4" a="1"/>
  <c r="C195" i="4" a="1"/>
  <c r="F195" i="4" a="1"/>
  <c r="D206" i="4" a="1"/>
  <c r="C206" i="4" a="1"/>
  <c r="E206" i="4" a="1"/>
  <c r="F206" i="4" a="1"/>
  <c r="D179" i="4" a="1"/>
  <c r="C179" i="4" a="1"/>
  <c r="E179" i="4" a="1"/>
  <c r="F179" i="4" a="1"/>
  <c r="D180" i="4" a="1"/>
  <c r="C180" i="4" a="1"/>
  <c r="E180" i="4" a="1"/>
  <c r="F180" i="4" a="1"/>
  <c r="D205" i="4" a="1"/>
  <c r="C205" i="4" a="1"/>
  <c r="E205" i="4" a="1"/>
  <c r="F205" i="4" a="1"/>
  <c r="C170" i="4" a="1"/>
  <c r="D170" i="4" a="1"/>
  <c r="F170" i="4" a="1"/>
  <c r="E170" i="4" a="1"/>
  <c r="F178" i="4" a="1"/>
  <c r="E178" i="4" a="1"/>
  <c r="C178" i="4" a="1"/>
  <c r="D178" i="4" a="1"/>
  <c r="E175" i="4" a="1"/>
  <c r="C175" i="4" a="1"/>
  <c r="F175" i="4" a="1"/>
  <c r="D175" i="4" a="1"/>
  <c r="F204" i="4" a="1"/>
  <c r="E204" i="4" a="1"/>
  <c r="D204" i="4" a="1"/>
  <c r="C204" i="4" a="1"/>
  <c r="D92" i="4" a="1"/>
  <c r="D78" i="4" a="1"/>
  <c r="D69" i="4" a="1"/>
  <c r="D82" i="4" a="1"/>
  <c r="D65" i="4" a="1"/>
  <c r="D79" i="4" a="1"/>
  <c r="D73" i="4" a="1"/>
  <c r="D83" i="4" a="1"/>
  <c r="D93" i="4" a="1"/>
  <c r="D84" i="4" a="1"/>
  <c r="D88" i="4" a="1"/>
  <c r="D99" i="4" a="1"/>
  <c r="D100" i="4" a="1"/>
  <c r="D77" i="4" a="1"/>
  <c r="D75" i="4" a="1"/>
  <c r="D86" i="4" a="1"/>
  <c r="D90" i="4" a="1"/>
  <c r="D81" i="4" a="1"/>
  <c r="D97" i="4" a="1"/>
  <c r="D61" i="4" a="1"/>
  <c r="D105" i="4" a="1"/>
  <c r="C12" i="4" a="1"/>
  <c r="D66" i="4" a="1"/>
  <c r="D107" i="4" a="1"/>
  <c r="D72" i="4" a="1"/>
  <c r="D106" i="4" a="1"/>
  <c r="D101" i="4" a="1"/>
  <c r="D104" i="4" a="1"/>
  <c r="D80" i="4" a="1"/>
  <c r="D108" i="4" a="1"/>
  <c r="D96" i="4" a="1"/>
  <c r="D63" i="4" a="1"/>
  <c r="F12" i="4" a="1"/>
  <c r="G12" i="4" a="1"/>
  <c r="D89" i="4" a="1"/>
  <c r="D71" i="4" a="1"/>
  <c r="D85" i="4" a="1"/>
  <c r="D68" i="4" a="1"/>
  <c r="D70" i="4" a="1"/>
  <c r="D103" i="4" a="1"/>
  <c r="D109" i="4" a="1"/>
  <c r="D87" i="4" a="1"/>
  <c r="D64" i="4" a="1"/>
  <c r="D76" i="4" a="1"/>
  <c r="D74" i="4" a="1"/>
  <c r="D110" i="4" a="1"/>
  <c r="D102" i="4" a="1"/>
  <c r="D91" i="4" a="1"/>
  <c r="E12" i="4" a="1"/>
  <c r="D95" i="4" a="1"/>
  <c r="D62" i="4" a="1"/>
  <c r="D94" i="4" a="1"/>
  <c r="D98" i="4" a="1"/>
  <c r="D67" i="4" a="1"/>
  <c r="F211" i="4" a="1"/>
  <c r="E211" i="4" a="1"/>
  <c r="D211" i="4" a="1"/>
  <c r="C211" i="4" a="1"/>
  <c r="C202" i="4" a="1"/>
  <c r="D202" i="4" a="1"/>
  <c r="E202" i="4" a="1"/>
  <c r="F202" i="4" a="1"/>
  <c r="D196" i="4" a="1"/>
  <c r="E196" i="4" a="1"/>
  <c r="C196" i="4" a="1"/>
  <c r="F196" i="4" a="1"/>
  <c r="D210" i="4" a="1"/>
  <c r="C210" i="4" a="1"/>
  <c r="E210" i="4" a="1"/>
  <c r="F210" i="4" a="1"/>
  <c r="F171" i="4" a="1"/>
  <c r="E171" i="4" a="1"/>
  <c r="D171" i="4" a="1"/>
  <c r="C171" i="4" a="1"/>
  <c r="F50" i="3" a="1"/>
  <c r="F42" i="3" a="1"/>
  <c r="F58" i="3" a="1"/>
  <c r="F22" i="3" a="1"/>
  <c r="F17" i="3" a="1"/>
  <c r="F47" i="3" a="1"/>
  <c r="F33" i="3" a="1"/>
  <c r="F52" i="3" a="1"/>
  <c r="F46" i="3" a="1"/>
  <c r="F31" i="3" a="1"/>
  <c r="F39" i="3" a="1"/>
  <c r="F48" i="3" a="1"/>
  <c r="F41" i="3" a="1"/>
  <c r="F25" i="3" a="1"/>
  <c r="F62" i="3" a="1"/>
  <c r="F56" i="3" a="1"/>
  <c r="F49" i="3" a="1"/>
  <c r="F61" i="3" a="1"/>
  <c r="F26" i="3" a="1"/>
  <c r="F38" i="3" a="1"/>
  <c r="F23" i="3" a="1"/>
  <c r="F32" i="3" a="1"/>
  <c r="F30" i="3" a="1"/>
  <c r="F34" i="3" a="1"/>
  <c r="F14" i="3" a="1"/>
  <c r="F57" i="3" a="1"/>
  <c r="F63" i="3" a="1"/>
  <c r="F18" i="3" a="1"/>
  <c r="C171" i="4" l="1"/>
  <c r="D171" i="4"/>
  <c r="E171" i="4"/>
  <c r="F171" i="4"/>
  <c r="F210" i="4"/>
  <c r="E210" i="4"/>
  <c r="C210" i="4"/>
  <c r="D210" i="4"/>
  <c r="F196" i="4"/>
  <c r="C196" i="4"/>
  <c r="E196" i="4"/>
  <c r="D196" i="4"/>
  <c r="F202" i="4"/>
  <c r="E202" i="4"/>
  <c r="D202" i="4"/>
  <c r="C202" i="4"/>
  <c r="C211" i="4"/>
  <c r="D211" i="4"/>
  <c r="E211" i="4"/>
  <c r="F211" i="4"/>
  <c r="D67" i="4"/>
  <c r="D98" i="4"/>
  <c r="D94" i="4"/>
  <c r="D62" i="4"/>
  <c r="D95" i="4"/>
  <c r="E12" i="4"/>
  <c r="D91" i="4"/>
  <c r="D102" i="4"/>
  <c r="D110" i="4"/>
  <c r="D74" i="4"/>
  <c r="D76" i="4"/>
  <c r="D64" i="4"/>
  <c r="D87" i="4"/>
  <c r="D109" i="4"/>
  <c r="D103" i="4"/>
  <c r="D70" i="4"/>
  <c r="D68" i="4"/>
  <c r="D85" i="4"/>
  <c r="D71" i="4"/>
  <c r="D89" i="4"/>
  <c r="G12" i="4"/>
  <c r="F12" i="4"/>
  <c r="D63" i="4"/>
  <c r="D96" i="4"/>
  <c r="D108" i="4"/>
  <c r="D80" i="4"/>
  <c r="D104" i="4"/>
  <c r="D101" i="4"/>
  <c r="D106" i="4"/>
  <c r="D72" i="4"/>
  <c r="D107" i="4"/>
  <c r="D66" i="4"/>
  <c r="C12" i="4"/>
  <c r="D105" i="4"/>
  <c r="D61" i="4"/>
  <c r="D97" i="4"/>
  <c r="D81" i="4"/>
  <c r="D90" i="4"/>
  <c r="D86" i="4"/>
  <c r="D75" i="4"/>
  <c r="D77" i="4"/>
  <c r="D100" i="4"/>
  <c r="D99" i="4"/>
  <c r="D88" i="4"/>
  <c r="D84" i="4"/>
  <c r="D93" i="4"/>
  <c r="D83" i="4"/>
  <c r="D73" i="4"/>
  <c r="D79" i="4"/>
  <c r="D65" i="4"/>
  <c r="D82" i="4"/>
  <c r="D69" i="4"/>
  <c r="D78" i="4"/>
  <c r="D92" i="4"/>
  <c r="C204" i="4"/>
  <c r="D204" i="4"/>
  <c r="E204" i="4"/>
  <c r="F204" i="4"/>
  <c r="D175" i="4"/>
  <c r="F175" i="4"/>
  <c r="C175" i="4"/>
  <c r="E175" i="4"/>
  <c r="D178" i="4"/>
  <c r="C178" i="4"/>
  <c r="E178" i="4"/>
  <c r="F178" i="4"/>
  <c r="E170" i="4"/>
  <c r="F170" i="4"/>
  <c r="D170" i="4"/>
  <c r="C170" i="4"/>
  <c r="F205" i="4"/>
  <c r="E205" i="4"/>
  <c r="C205" i="4"/>
  <c r="D205" i="4"/>
  <c r="F180" i="4"/>
  <c r="E180" i="4"/>
  <c r="C180" i="4"/>
  <c r="D180" i="4"/>
  <c r="F179" i="4"/>
  <c r="E179" i="4"/>
  <c r="C179" i="4"/>
  <c r="D179" i="4"/>
  <c r="F206" i="4"/>
  <c r="E206" i="4"/>
  <c r="C206" i="4"/>
  <c r="D206" i="4"/>
  <c r="F195" i="4"/>
  <c r="C195" i="4"/>
  <c r="D195" i="4"/>
  <c r="E195" i="4"/>
  <c r="F188" i="4"/>
  <c r="C188" i="4"/>
  <c r="D188" i="4"/>
  <c r="E188" i="4"/>
  <c r="D191" i="4"/>
  <c r="C191" i="4"/>
  <c r="F191" i="4"/>
  <c r="E191" i="4"/>
  <c r="E194" i="4"/>
  <c r="F194" i="4"/>
  <c r="D194" i="4"/>
  <c r="C194" i="4"/>
  <c r="C187" i="4"/>
  <c r="D187" i="4"/>
  <c r="E187" i="4"/>
  <c r="F187" i="4"/>
  <c r="C172" i="4"/>
  <c r="D172" i="4"/>
  <c r="E172" i="4"/>
  <c r="F172" i="4"/>
  <c r="F186" i="4"/>
  <c r="D186" i="4"/>
  <c r="C186" i="4"/>
  <c r="E186" i="4"/>
  <c r="C166" i="4"/>
  <c r="D166" i="4"/>
  <c r="F166" i="4"/>
  <c r="E166" i="4"/>
  <c r="E167" i="4"/>
  <c r="F167" i="4"/>
  <c r="D167" i="4"/>
  <c r="C167" i="4"/>
  <c r="F18" i="3"/>
  <c r="F63" i="3"/>
  <c r="F57" i="3"/>
  <c r="F14" i="3"/>
  <c r="F34" i="3"/>
  <c r="F30" i="3"/>
  <c r="F32" i="3"/>
  <c r="F23" i="3"/>
  <c r="F38" i="3"/>
  <c r="F26" i="3"/>
  <c r="F61" i="3"/>
  <c r="F49" i="3"/>
  <c r="F56" i="3"/>
  <c r="F62" i="3"/>
  <c r="F25" i="3"/>
  <c r="F41" i="3"/>
  <c r="F48" i="3"/>
  <c r="F39" i="3"/>
  <c r="F31" i="3"/>
  <c r="F46" i="3"/>
  <c r="F52" i="3"/>
  <c r="F33" i="3"/>
  <c r="F47" i="3"/>
  <c r="F17" i="3"/>
  <c r="F22" i="3"/>
  <c r="F58" i="3"/>
  <c r="F42" i="3"/>
  <c r="F50" i="3"/>
  <c r="E64" i="3"/>
  <c r="E70" i="3" s="1" a="1"/>
  <c r="E70" i="3" s="1"/>
  <c r="E165" i="4" a="1"/>
  <c r="C165" i="4" a="1"/>
  <c r="F165" i="4" a="1"/>
  <c r="D165" i="4" a="1"/>
  <c r="F200" i="4" a="1"/>
  <c r="E200" i="4" a="1"/>
  <c r="C200" i="4" a="1"/>
  <c r="D200" i="4" a="1"/>
  <c r="E197" i="4" a="1"/>
  <c r="D197" i="4" a="1"/>
  <c r="F197" i="4" a="1"/>
  <c r="C197" i="4" a="1"/>
  <c r="E201" i="4" a="1"/>
  <c r="F201" i="4" a="1"/>
  <c r="D201" i="4" a="1"/>
  <c r="C201" i="4" a="1"/>
  <c r="F185" i="4" a="1"/>
  <c r="E185" i="4" a="1"/>
  <c r="D185" i="4" a="1"/>
  <c r="C185" i="4" a="1"/>
  <c r="F207" i="4" a="1"/>
  <c r="C207" i="4" a="1"/>
  <c r="D207" i="4" a="1"/>
  <c r="E207" i="4" a="1"/>
  <c r="C203" i="4" a="1"/>
  <c r="E203" i="4" a="1"/>
  <c r="D203" i="4" a="1"/>
  <c r="F203" i="4" a="1"/>
  <c r="E90" i="4" a="1"/>
  <c r="E65" i="4" a="1"/>
  <c r="E84" i="4" a="1"/>
  <c r="E70" i="4" a="1"/>
  <c r="E101" i="4" a="1"/>
  <c r="E75" i="4" a="1"/>
  <c r="E109" i="4" a="1"/>
  <c r="E77" i="4" a="1"/>
  <c r="E67" i="4" a="1"/>
  <c r="E110" i="4" a="1"/>
  <c r="E104" i="4" a="1"/>
  <c r="E108" i="4" a="1"/>
  <c r="E68" i="4" a="1"/>
  <c r="E89" i="4" a="1"/>
  <c r="E64" i="4" a="1"/>
  <c r="E85" i="4" a="1"/>
  <c r="E71" i="4" a="1"/>
  <c r="E107" i="4" a="1"/>
  <c r="E94" i="4" a="1"/>
  <c r="E97" i="4" a="1"/>
  <c r="E102" i="4" a="1"/>
  <c r="E100" i="4" a="1"/>
  <c r="E91" i="4" a="1"/>
  <c r="E95" i="4" a="1"/>
  <c r="E69" i="4" a="1"/>
  <c r="E92" i="4" a="1"/>
  <c r="E93" i="4" a="1"/>
  <c r="E87" i="4" a="1"/>
  <c r="E81" i="4" a="1"/>
  <c r="E82" i="4" a="1"/>
  <c r="E88" i="4" a="1"/>
  <c r="E96" i="4" a="1"/>
  <c r="E83" i="4" a="1"/>
  <c r="E73" i="4" a="1"/>
  <c r="F13" i="4" a="1"/>
  <c r="E76" i="4" a="1"/>
  <c r="E105" i="4" a="1"/>
  <c r="E99" i="4" a="1"/>
  <c r="E63" i="4" a="1"/>
  <c r="C13" i="4" a="1"/>
  <c r="E74" i="4" a="1"/>
  <c r="E72" i="4" a="1"/>
  <c r="E103" i="4" a="1"/>
  <c r="E106" i="4" a="1"/>
  <c r="G13" i="4" a="1"/>
  <c r="E78" i="4" a="1"/>
  <c r="E66" i="4" a="1"/>
  <c r="E80" i="4" a="1"/>
  <c r="E98" i="4" a="1"/>
  <c r="E86" i="4" a="1"/>
  <c r="E79" i="4" a="1"/>
  <c r="E13" i="4" a="1"/>
  <c r="E62" i="4" a="1"/>
  <c r="E61" i="4" a="1"/>
  <c r="F181" i="4" a="1"/>
  <c r="D181" i="4" a="1"/>
  <c r="E181" i="4" a="1"/>
  <c r="C181" i="4" a="1"/>
  <c r="C213" i="4" a="1"/>
  <c r="E213" i="4" a="1"/>
  <c r="D213" i="4" a="1"/>
  <c r="F213" i="4" a="1"/>
  <c r="D184" i="4" a="1"/>
  <c r="E184" i="4" a="1"/>
  <c r="C184" i="4" a="1"/>
  <c r="F184" i="4" a="1"/>
  <c r="F183" i="4" a="1"/>
  <c r="C183" i="4" a="1"/>
  <c r="E183" i="4" a="1"/>
  <c r="D183" i="4" a="1"/>
  <c r="E176" i="4" a="1"/>
  <c r="F176" i="4" a="1"/>
  <c r="C176" i="4" a="1"/>
  <c r="D176" i="4" a="1"/>
  <c r="D198" i="4" a="1"/>
  <c r="F198" i="4" a="1"/>
  <c r="C198" i="4" a="1"/>
  <c r="E198" i="4" a="1"/>
  <c r="D174" i="4" a="1"/>
  <c r="C174" i="4" a="1"/>
  <c r="E174" i="4" a="1"/>
  <c r="F174" i="4" a="1"/>
  <c r="E192" i="4" a="1"/>
  <c r="C192" i="4" a="1"/>
  <c r="F192" i="4" a="1"/>
  <c r="D192" i="4" a="1"/>
  <c r="F168" i="4" a="1"/>
  <c r="E168" i="4" a="1"/>
  <c r="C168" i="4" a="1"/>
  <c r="D168" i="4" a="1"/>
  <c r="E169" i="4" a="1"/>
  <c r="D169" i="4" a="1"/>
  <c r="C169" i="4" a="1"/>
  <c r="F169" i="4" a="1"/>
  <c r="F189" i="4" a="1"/>
  <c r="E189" i="4" a="1"/>
  <c r="D189" i="4" a="1"/>
  <c r="C189" i="4" a="1"/>
  <c r="C199" i="4" a="1"/>
  <c r="F199" i="4" a="1"/>
  <c r="E199" i="4" a="1"/>
  <c r="D199" i="4" a="1"/>
  <c r="C173" i="4" a="1"/>
  <c r="E173" i="4" a="1"/>
  <c r="D173" i="4" a="1"/>
  <c r="F173" i="4" a="1"/>
  <c r="D214" i="4" a="1"/>
  <c r="C214" i="4" a="1"/>
  <c r="F214" i="4" a="1"/>
  <c r="E214" i="4" a="1"/>
  <c r="C177" i="4" a="1"/>
  <c r="F177" i="4" a="1"/>
  <c r="D177" i="4" a="1"/>
  <c r="E177" i="4" a="1"/>
  <c r="F190" i="4" a="1"/>
  <c r="E190" i="4" a="1"/>
  <c r="D190" i="4" a="1"/>
  <c r="C190" i="4" a="1"/>
  <c r="E209" i="4" a="1"/>
  <c r="D209" i="4" a="1"/>
  <c r="F209" i="4" a="1"/>
  <c r="C209" i="4" a="1"/>
  <c r="F208" i="4" a="1"/>
  <c r="D208" i="4" a="1"/>
  <c r="E208" i="4" a="1"/>
  <c r="C208" i="4" a="1"/>
  <c r="D212" i="4" a="1"/>
  <c r="C212" i="4" a="1"/>
  <c r="E212" i="4" a="1"/>
  <c r="F212" i="4" a="1"/>
  <c r="F182" i="4" a="1"/>
  <c r="D182" i="4" a="1"/>
  <c r="E182" i="4" a="1"/>
  <c r="C182" i="4" a="1"/>
  <c r="D193" i="4" a="1"/>
  <c r="C193" i="4" a="1"/>
  <c r="F193" i="4" a="1"/>
  <c r="E193" i="4" a="1"/>
  <c r="E193" i="4" l="1"/>
  <c r="F193" i="4"/>
  <c r="C193" i="4"/>
  <c r="D193" i="4"/>
  <c r="C182" i="4"/>
  <c r="E182" i="4"/>
  <c r="D182" i="4"/>
  <c r="F182" i="4"/>
  <c r="F212" i="4"/>
  <c r="E212" i="4"/>
  <c r="C212" i="4"/>
  <c r="D212" i="4"/>
  <c r="C208" i="4"/>
  <c r="E208" i="4"/>
  <c r="D208" i="4"/>
  <c r="F208" i="4"/>
  <c r="C209" i="4"/>
  <c r="F209" i="4"/>
  <c r="D209" i="4"/>
  <c r="E209" i="4"/>
  <c r="C190" i="4"/>
  <c r="D190" i="4"/>
  <c r="E190" i="4"/>
  <c r="F190" i="4"/>
  <c r="E177" i="4"/>
  <c r="D177" i="4"/>
  <c r="F177" i="4"/>
  <c r="C177" i="4"/>
  <c r="E214" i="4"/>
  <c r="F214" i="4"/>
  <c r="C214" i="4"/>
  <c r="D214" i="4"/>
  <c r="F173" i="4"/>
  <c r="D173" i="4"/>
  <c r="E173" i="4"/>
  <c r="C173" i="4"/>
  <c r="D199" i="4"/>
  <c r="E199" i="4"/>
  <c r="F199" i="4"/>
  <c r="C199" i="4"/>
  <c r="C189" i="4"/>
  <c r="D189" i="4"/>
  <c r="E189" i="4"/>
  <c r="F189" i="4"/>
  <c r="F169" i="4"/>
  <c r="C169" i="4"/>
  <c r="D169" i="4"/>
  <c r="E169" i="4"/>
  <c r="D168" i="4"/>
  <c r="C168" i="4"/>
  <c r="E168" i="4"/>
  <c r="F168" i="4"/>
  <c r="D192" i="4"/>
  <c r="F192" i="4"/>
  <c r="C192" i="4"/>
  <c r="E192" i="4"/>
  <c r="F174" i="4"/>
  <c r="E174" i="4"/>
  <c r="C174" i="4"/>
  <c r="D174" i="4"/>
  <c r="E198" i="4"/>
  <c r="C198" i="4"/>
  <c r="F198" i="4"/>
  <c r="D198" i="4"/>
  <c r="D176" i="4"/>
  <c r="C176" i="4"/>
  <c r="F176" i="4"/>
  <c r="E176" i="4"/>
  <c r="D183" i="4"/>
  <c r="E183" i="4"/>
  <c r="C183" i="4"/>
  <c r="F183" i="4"/>
  <c r="F184" i="4"/>
  <c r="C184" i="4"/>
  <c r="E184" i="4"/>
  <c r="D184" i="4"/>
  <c r="F213" i="4"/>
  <c r="D213" i="4"/>
  <c r="E213" i="4"/>
  <c r="C213" i="4"/>
  <c r="C181" i="4"/>
  <c r="E181" i="4"/>
  <c r="D181" i="4"/>
  <c r="F181" i="4"/>
  <c r="E61" i="4"/>
  <c r="E62" i="4"/>
  <c r="E13" i="4"/>
  <c r="E79" i="4"/>
  <c r="E86" i="4"/>
  <c r="E98" i="4"/>
  <c r="E80" i="4"/>
  <c r="E66" i="4"/>
  <c r="E78" i="4"/>
  <c r="G13" i="4"/>
  <c r="E106" i="4"/>
  <c r="E103" i="4"/>
  <c r="E72" i="4"/>
  <c r="E74" i="4"/>
  <c r="C13" i="4"/>
  <c r="E63" i="4"/>
  <c r="E99" i="4"/>
  <c r="E105" i="4"/>
  <c r="E76" i="4"/>
  <c r="F13" i="4"/>
  <c r="E73" i="4"/>
  <c r="E83" i="4"/>
  <c r="E96" i="4"/>
  <c r="E88" i="4"/>
  <c r="E82" i="4"/>
  <c r="E81" i="4"/>
  <c r="E87" i="4"/>
  <c r="E93" i="4"/>
  <c r="E92" i="4"/>
  <c r="E69" i="4"/>
  <c r="E95" i="4"/>
  <c r="E91" i="4"/>
  <c r="E100" i="4"/>
  <c r="E102" i="4"/>
  <c r="E97" i="4"/>
  <c r="E94" i="4"/>
  <c r="E107" i="4"/>
  <c r="E71" i="4"/>
  <c r="E85" i="4"/>
  <c r="E64" i="4"/>
  <c r="E89" i="4"/>
  <c r="E68" i="4"/>
  <c r="E108" i="4"/>
  <c r="E104" i="4"/>
  <c r="E110" i="4"/>
  <c r="E67" i="4"/>
  <c r="E77" i="4"/>
  <c r="E109" i="4"/>
  <c r="E75" i="4"/>
  <c r="E101" i="4"/>
  <c r="E70" i="4"/>
  <c r="E84" i="4"/>
  <c r="E65" i="4"/>
  <c r="E90" i="4"/>
  <c r="F203" i="4"/>
  <c r="D203" i="4"/>
  <c r="E203" i="4"/>
  <c r="C203" i="4"/>
  <c r="E207" i="4"/>
  <c r="D207" i="4"/>
  <c r="C207" i="4"/>
  <c r="F207" i="4"/>
  <c r="C185" i="4"/>
  <c r="D185" i="4"/>
  <c r="E185" i="4"/>
  <c r="F185" i="4"/>
  <c r="C201" i="4"/>
  <c r="D201" i="4"/>
  <c r="F201" i="4"/>
  <c r="E201" i="4"/>
  <c r="C197" i="4"/>
  <c r="F197" i="4"/>
  <c r="D197" i="4"/>
  <c r="E197" i="4"/>
  <c r="D200" i="4"/>
  <c r="C200" i="4"/>
  <c r="E200" i="4"/>
  <c r="F200" i="4"/>
  <c r="D165" i="4"/>
  <c r="F165" i="4"/>
  <c r="C165" i="4"/>
  <c r="E165" i="4"/>
  <c r="F64" i="3"/>
  <c r="E71" i="3" s="1" a="1"/>
  <c r="E71" i="3" s="1"/>
  <c r="F80" i="4" a="1"/>
  <c r="F76" i="4" a="1"/>
  <c r="F62" i="4" a="1"/>
  <c r="F14" i="4" a="1"/>
  <c r="F85" i="4" a="1"/>
  <c r="F66" i="4" a="1"/>
  <c r="F94" i="4" a="1"/>
  <c r="F99" i="4" a="1"/>
  <c r="F81" i="4" a="1"/>
  <c r="F79" i="4" a="1"/>
  <c r="F91" i="4" a="1"/>
  <c r="F86" i="4" a="1"/>
  <c r="F87" i="4" a="1"/>
  <c r="F83" i="4" a="1"/>
  <c r="F95" i="4" a="1"/>
  <c r="F75" i="4" a="1"/>
  <c r="F92" i="4" a="1"/>
  <c r="E14" i="4" a="1"/>
  <c r="F110" i="4" a="1"/>
  <c r="F88" i="4" a="1"/>
  <c r="F100" i="4" a="1"/>
  <c r="F82" i="4" a="1"/>
  <c r="F73" i="4" a="1"/>
  <c r="G14" i="4" a="1"/>
  <c r="F63" i="4" a="1"/>
  <c r="F69" i="4" a="1"/>
  <c r="B6" i="4" a="1"/>
  <c r="F65" i="4" a="1"/>
  <c r="F109" i="4" a="1"/>
  <c r="F105" i="4" a="1"/>
  <c r="F102" i="4" a="1"/>
  <c r="F107" i="4" a="1"/>
  <c r="F101" i="4" a="1"/>
  <c r="F84" i="4" a="1"/>
  <c r="F96" i="4" a="1"/>
  <c r="F74" i="4" a="1"/>
  <c r="F93" i="4" a="1"/>
  <c r="F98" i="4" a="1"/>
  <c r="F106" i="4" a="1"/>
  <c r="F72" i="4" a="1"/>
  <c r="F78" i="4" a="1"/>
  <c r="F61" i="4" a="1"/>
  <c r="F89" i="4" a="1"/>
  <c r="F103" i="4" a="1"/>
  <c r="F104" i="4" a="1"/>
  <c r="F64" i="4" a="1"/>
  <c r="F70" i="4" a="1"/>
  <c r="C14" i="4" a="1"/>
  <c r="F77" i="4" a="1"/>
  <c r="F108" i="4" a="1"/>
  <c r="F97" i="4" a="1"/>
  <c r="F68" i="4" a="1"/>
  <c r="F90" i="4" a="1"/>
  <c r="F67" i="4" a="1"/>
  <c r="F71" i="4" a="1"/>
  <c r="F71" i="4" l="1"/>
  <c r="F67" i="4"/>
  <c r="F90" i="4"/>
  <c r="F68" i="4"/>
  <c r="F97" i="4"/>
  <c r="F108" i="4"/>
  <c r="F77" i="4"/>
  <c r="C14" i="4"/>
  <c r="F70" i="4"/>
  <c r="F64" i="4"/>
  <c r="F104" i="4"/>
  <c r="F103" i="4"/>
  <c r="F89" i="4"/>
  <c r="F61" i="4"/>
  <c r="F78" i="4"/>
  <c r="F72" i="4"/>
  <c r="F106" i="4"/>
  <c r="F98" i="4"/>
  <c r="F93" i="4"/>
  <c r="F74" i="4"/>
  <c r="F96" i="4"/>
  <c r="F84" i="4"/>
  <c r="F101" i="4"/>
  <c r="F107" i="4"/>
  <c r="F102" i="4"/>
  <c r="F105" i="4"/>
  <c r="F109" i="4"/>
  <c r="F65" i="4"/>
  <c r="B6" i="4"/>
  <c r="F69" i="4"/>
  <c r="F63" i="4"/>
  <c r="G14" i="4"/>
  <c r="F73" i="4"/>
  <c r="F82" i="4"/>
  <c r="F100" i="4"/>
  <c r="F88" i="4"/>
  <c r="F110" i="4"/>
  <c r="E14" i="4"/>
  <c r="F92" i="4"/>
  <c r="F75" i="4"/>
  <c r="F95" i="4"/>
  <c r="F83" i="4"/>
  <c r="F87" i="4"/>
  <c r="F86" i="4"/>
  <c r="F91" i="4"/>
  <c r="F79" i="4"/>
  <c r="F81" i="4"/>
  <c r="F99" i="4"/>
  <c r="F94" i="4"/>
  <c r="F66" i="4"/>
  <c r="F85" i="4"/>
  <c r="F14" i="4"/>
  <c r="F62" i="4"/>
  <c r="F76" i="4"/>
  <c r="F80"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<sst xmlns="http://schemas.openxmlformats.org/spreadsheetml/2006/main" count="314" uniqueCount="225">
  <si>
    <t>Event Counts over Time: Poisson and Pólya</t>
  </si>
  <si>
    <t>ModelRisk example  ·  General use  ·  GU-09</t>
  </si>
  <si>
    <t>How uncertain is next year's total of house calls?  It depends on where the extra variation comes from.</t>
  </si>
  <si>
    <t>Next:  Inputs  ▸</t>
  </si>
  <si>
    <t>Model card</t>
  </si>
  <si>
    <t>Industry</t>
  </si>
  <si>
    <t>General use</t>
  </si>
  <si>
    <t>Difficulty</t>
  </si>
  <si>
    <t>★★☆☆☆   The same expected counts with three amounts of randomness: Poisson, and two ways of adding Pólya's extra variation.</t>
  </si>
  <si>
    <t>Business question</t>
  </si>
  <si>
    <t>A medical practice expects its weekly house calls to grow from about 27 to 37 over the next 50 weeks. Calls arrive at random, but the weekly numbers have historically varied more than a Poisson process would make them. How uncertain is the year's total, and does it matter whether the extra variation comes week by week or from the year as a whole?</t>
  </si>
  <si>
    <t>Who it is for</t>
  </si>
  <si>
    <t>Anyone forecasting counts of events: calls, claims, failures, admissions, orders.</t>
  </si>
  <si>
    <t>Main outputs</t>
  </si>
  <si>
    <t>The year's total in three versions at P10 / median / P90 with exact and simulated standard deviations · weekly bands for the Poisson and the shared-level versions.</t>
  </si>
  <si>
    <t>ModelRisk techniques</t>
  </si>
  <si>
    <t>VosePoisson around a trend · the Pólya (Gamma-mixed Poisson) process, VosePoisson(VoseGamma(1/h, λh)), with its extra variation drawn each week or once for the year · exact variances: λ, λ + hλ², and the effect of sharing · output ranges per version.</t>
  </si>
  <si>
    <t>File</t>
  </si>
  <si>
    <t>GU-09 Event counts over time Poisson and Polya  ·  Version 1.0  ·  October 2026  ·  re-issues the examples Poisson random walk and Polya Time Series  ·  built with ModelRisk 10</t>
  </si>
  <si>
    <t>The business question</t>
  </si>
  <si>
    <t>A medical practice makes house calls. It expects 27 calls a week now, growing by 0.2 a week, so about 37 a week by the end of the year. Calls arrive at random, which a Poisson process describes: its variance equals its mean. The practice's records show more variation than that, which the Pólya process allows: the expected number is itself uncertain, Gamma distributed around the trend with an extra-variation parameter h = 0.3. Where does that uncertainty sit? If it is noise from week to week, busy and quiet weeks cancel out over the year; if it is about the year as a whole (a busy year or a quiet one), it does not. The model runs the same trend three ways and compares the year's totals.</t>
  </si>
  <si>
    <t>How the model works</t>
  </si>
  <si>
    <t>Three sheets after this one, read from left to right. Each one feeds the next.</t>
  </si>
  <si>
    <t>1  Inputs</t>
  </si>
  <si>
    <t>The expected calls per week (an intercept and a gradient) and the Pólya parameter h.</t>
  </si>
  <si>
    <t>2  Weeks</t>
  </si>
  <si>
    <t>Each week's expected calls follow the trend. The Poisson version draws VosePoisson(expected). The Pólya version of the original example draws a Gamma with mean 'expected' and a new value each week. The shared version draws one Gamma level with mean 1 for the whole year and multiplies every week's expected calls by it.</t>
  </si>
  <si>
    <t>3  Results</t>
  </si>
  <si>
    <t>The year's total in each version, with its exact standard deviation beside the simulated one, and the weekly bands of the Poisson and the shared versions.</t>
  </si>
  <si>
    <t>How to use it</t>
  </si>
  <si>
    <t>Step 1</t>
  </si>
  <si>
    <t>Set the trend and h on the Inputs sheet; h = 0 makes all three versions Poisson.</t>
  </si>
  <si>
    <t>Step 2</t>
  </si>
  <si>
    <t>Run a simulation from the ModelRisk ribbon (10,000 samples with a fixed seed are set).</t>
  </si>
  <si>
    <t>Step 3</t>
  </si>
  <si>
    <t>Decide which version matches where your extra variation comes from, and use its total.</t>
  </si>
  <si>
    <t>Workbook map</t>
  </si>
  <si>
    <t>Inputs</t>
  </si>
  <si>
    <t>Trend and h.</t>
  </si>
  <si>
    <t>Weeks</t>
  </si>
  <si>
    <t>The year's level and 50 weeks of calls in three versions; outputs and checks.</t>
  </si>
  <si>
    <t>Results</t>
  </si>
  <si>
    <t>Totals, spreads and weekly bands.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</si>
  <si>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</si>
  <si>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</si>
  <si>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</si>
  <si>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</si>
  <si>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</si>
  <si>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</si>
  <si>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</si>
  <si>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</si>
  <si>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</si>
  <si>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</si>
  <si>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</si>
  <si>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</si>
  <si>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Calls</t>
  </si>
  <si>
    <t>House calls per week.</t>
  </si>
  <si>
    <t>Pólya h</t>
  </si>
  <si>
    <t>The extra variation: a week's variance is mean + h × mean² instead of the Poisson's mean.</t>
  </si>
  <si>
    <t>Level</t>
  </si>
  <si>
    <t>The shared version's multiplier for the year: Gamma with mean 1 and variance h.</t>
  </si>
  <si>
    <t>Key assumptions and limitations</t>
  </si>
  <si>
    <t>Independence</t>
  </si>
  <si>
    <t>Calls arrive independently within a week. In the Poisson and the weekly Pólya versions the weeks are also independent of each other.</t>
  </si>
  <si>
    <t>Trend</t>
  </si>
  <si>
    <t>Linear, as in the original examples.</t>
  </si>
  <si>
    <t>Data</t>
  </si>
  <si>
    <t>The trend (27 + 0.2 a week over 50 weeks) and h = 0.3 are those of ModelRisk's earlier Polya Time Series example; its Poisson random walk example used the same Poisson model with 50 + 0.1 a period over 100 periods.</t>
  </si>
  <si>
    <t>ModelRisk functions used</t>
  </si>
  <si>
    <t>VosePoisson</t>
  </si>
  <si>
    <t>Each week's calls, around the expected number.</t>
  </si>
  <si>
    <t>VoseGamma</t>
  </si>
  <si>
    <t>The Pólya process's uncertain rate: VoseGamma(1/h, expected × h) each week, or VoseGamma(1/h, h) once as the year's level.</t>
  </si>
  <si>
    <t>VoseOutput</t>
  </si>
  <si>
    <t>The 50 weekly counts of each version as an output range, and the three totals.</t>
  </si>
  <si>
    <t>VoseSimMean, VoseSimStdev, VoseSimPercentile</t>
  </si>
  <si>
    <t>Statistics of the simulation, and the weekly bands.</t>
  </si>
  <si>
    <t>Further reading</t>
  </si>
  <si>
    <t>Pólya process</t>
  </si>
  <si>
    <t>Vose, D. (2008). Risk Analysis: A Quantitative Guide, 3rd edition. Wiley: the Pólya and Poisson processes.</t>
  </si>
  <si>
    <t>© 2026 Vose Software   ·   www.vosesoftware.com   ·   An illustrative example: the figures are invented for teaching and do not describe a real company, project or asset.</t>
  </si>
  <si>
    <t>INPUTS   ·   The trend in weekly calls and the extra variation. Change only the yellow cells.</t>
  </si>
  <si>
    <t>◂  About</t>
  </si>
  <si>
    <t>Next:  Weeks  ▸</t>
  </si>
  <si>
    <t>How to read this sheet:  yellow cells are inputs.</t>
  </si>
  <si>
    <t>1   Expected calls</t>
  </si>
  <si>
    <t>A straight-line trend in the expected number of calls per week.</t>
  </si>
  <si>
    <t>Assumption</t>
  </si>
  <si>
    <t>Unit</t>
  </si>
  <si>
    <t>Value in model</t>
  </si>
  <si>
    <t>Uncertainty</t>
  </si>
  <si>
    <t>Basis / source (illustrative)</t>
  </si>
  <si>
    <t>Expected calls per week at the start  (week 0)</t>
  </si>
  <si>
    <t>calls</t>
  </si>
  <si>
    <t>Fixed</t>
  </si>
  <si>
    <t>Increase per week</t>
  </si>
  <si>
    <t>About 37 a week by week 50.</t>
  </si>
  <si>
    <t>2   Extra variation</t>
  </si>
  <si>
    <t>How much more the weekly numbers vary than a Poisson process.</t>
  </si>
  <si>
    <t>A week's variance = mean + h × mean². 0 gives a Poisson process.</t>
  </si>
  <si>
    <t>WEEKS   ·   The year's shared level, and 50 weeks of calls in three versions.</t>
  </si>
  <si>
    <t>◂  Inputs</t>
  </si>
  <si>
    <t>Next:  Results  ▸</t>
  </si>
  <si>
    <t>1   The year's level</t>
  </si>
  <si>
    <t>Used only by the shared version: one draw for the whole year.</t>
  </si>
  <si>
    <t>Level of the year  (× expected)</t>
  </si>
  <si>
    <t>VoseGamma(1/h, h): mean 1, variance h. Above 1 is a busy year, below 1 a quiet one</t>
  </si>
  <si>
    <t>2   Week by week</t>
  </si>
  <si>
    <t>The same expected calls in three versions.</t>
  </si>
  <si>
    <t>Week</t>
  </si>
  <si>
    <t>Expected calls</t>
  </si>
  <si>
    <t>Poisson</t>
  </si>
  <si>
    <t>Pólya, each week</t>
  </si>
  <si>
    <t>Pólya, shared level</t>
  </si>
  <si>
    <t>How it is calculated</t>
  </si>
  <si>
    <t>Expected calls = intercept + gradient × week</t>
  </si>
  <si>
    <t>Poisson: VosePoisson(expected)</t>
  </si>
  <si>
    <t>Pólya, each week: VosePoisson(VoseGamma(1/h, expected × h)), a new Gamma each week</t>
  </si>
  <si>
    <t>Pólya, shared level: VosePoisson(expected × the year's level)</t>
  </si>
  <si>
    <t>Each column is an output range for the Results Viewer</t>
  </si>
  <si>
    <t>Year</t>
  </si>
  <si>
    <t>3   Value in this iteration</t>
  </si>
  <si>
    <t>Key outputs, recorded by ModelRisk at every sample (VoseOutput). Their statistics appear on the Results sheet.</t>
  </si>
  <si>
    <t>Output</t>
  </si>
  <si>
    <t>Value</t>
  </si>
  <si>
    <t>Meaning</t>
  </si>
  <si>
    <t>Year's total, Poisson</t>
  </si>
  <si>
    <t>Year's total, Pólya each week</t>
  </si>
  <si>
    <t>Year's total, Pólya shared level</t>
  </si>
  <si>
    <t>Expected total  (all versions)</t>
  </si>
  <si>
    <t>Sum of the weeks' expected calls.</t>
  </si>
  <si>
    <t>Exact standard deviation, Poisson</t>
  </si>
  <si>
    <t>√(sum of the means)</t>
  </si>
  <si>
    <t>Exact standard deviation, Pólya each week</t>
  </si>
  <si>
    <t>√(sum of mean + h × mean²): the weeks are independent</t>
  </si>
  <si>
    <t>Exact standard deviation, Pólya shared level</t>
  </si>
  <si>
    <t>√(sum of the means + h × (sum of the means)²): one level for all weeks</t>
  </si>
  <si>
    <t>4   Model checks</t>
  </si>
  <si>
    <t>Should all read OK. A CHECK means an input has been set outside the range the model is built for.</t>
  </si>
  <si>
    <t>Expected calls are not negative in any week</t>
  </si>
  <si>
    <t>Pólya h is above 0  (0 is the Poisson case: use the Poisson column)</t>
  </si>
  <si>
    <t>RESULTS   ·   Filled in automatically from the last simulation. Run a simulation after changing any input.</t>
  </si>
  <si>
    <t>◂  Weeks</t>
  </si>
  <si>
    <t>1   The year's total, three ways</t>
  </si>
  <si>
    <t>The year's total — three versions</t>
  </si>
  <si>
    <t>The same expected calls every week; three amounts of randomness.</t>
  </si>
  <si>
    <t>Version</t>
  </si>
  <si>
    <t>Mean</t>
  </si>
  <si>
    <t>SD exact</t>
  </si>
  <si>
    <t>SD simulated</t>
  </si>
  <si>
    <t>10th pct</t>
  </si>
  <si>
    <t>90th pct</t>
  </si>
  <si>
    <t>Measure</t>
  </si>
  <si>
    <t>Expected total  (every version)</t>
  </si>
  <si>
    <t>2   How to read these results</t>
  </si>
  <si>
    <t>Calls per week — Poisson</t>
  </si>
  <si>
    <t>Beside them: 10th / 50th / 90th percentile bands of each week's calls.</t>
  </si>
  <si>
    <t>•  All three versions expect the same calls every week, about 1,600 in the year. They differ only in how random the weeks are.</t>
  </si>
  <si>
    <t>•  Poisson: a week's variance equals its mean, and over the year the standard deviation is the square root of the expected total, about 40 calls.</t>
  </si>
  <si>
    <t>•  Pólya, each week (the original example): each week has its own extra variation, but busy and quiet weeks cancel out over the year, so the total's standard deviation is only about 130.</t>
  </si>
  <si>
    <t>•  Pólya with a shared level: the extra variation belongs to the year as a whole, so it does not cancel. The standard deviation is about 880 and the total ranges from about 630 to 2,800 calls (10th to 90th percentile). A busy week now predicts busy weeks to come: this is the 'memory' that the original example's description mentions.</t>
  </si>
  <si>
    <t>•  Decide where your extra variation comes from before choosing: week-to-week noise, or uncertainty about the rate itself.</t>
  </si>
  <si>
    <t>Calls per week — Pólya, shared level</t>
  </si>
  <si>
    <t>Chart data</t>
  </si>
  <si>
    <t>Statistics of the last simulation behind the charts and the ranking above. Grouped: click + in the left margin to show them.</t>
  </si>
  <si>
    <t>Cumulative probability</t>
  </si>
  <si>
    <t>Exceedance</t>
  </si>
  <si>
    <t>TotPois</t>
  </si>
  <si>
    <t>TotPolW</t>
  </si>
  <si>
    <t>TotPolS</t>
  </si>
  <si>
    <t>Period</t>
  </si>
  <si>
    <t>10th percentile</t>
  </si>
  <si>
    <t>Median</t>
  </si>
  <si>
    <t>90th percentile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</si>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</sst>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0.0\);&quot;–&quot;_)"/>
    <numFmt numFmtId="165" formatCode="#,##0.00_);\(#,##0.00\);&quot;–&quot;_)"/>
    <numFmt numFmtId="166" formatCode="0.000"/>
    <numFmt numFmtId="167" formatCode="#,##0_);\(#,##0\);&quot;–&quot;_)"/>
    <numFmt numFmtId="168" formatCode="#,##0_);\(#,##0\);&quot;–&quot;_);&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3F5876"/>
      </top>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65" fontId="1" fillId="2" borderId="7" xfId="1" applyNumberFormat="1" applyBorder="1">
      <alignment horizontal="right" vertical="center"/>
    </xf>
    <xf numFmtId="166" fontId="2" fillId="3" borderId="7" xfId="2"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4" fontId="3" fillId="0" borderId="8" xfId="3" applyNumberFormat="1" applyBorder="1">
      <alignment horizontal="right" vertical="center"/>
    </xf>
    <xf numFmtId="167" fontId="4" fillId="4" borderId="9" xfId="4" applyNumberFormat="1" applyBorder="1">
      <alignment horizontal="right" vertical="center"/>
    </xf>
    <xf numFmtId="0" fontId="12" fillId="0" borderId="10" xfId="0" applyFont="1" applyBorder="1" applyAlignment="1">
      <alignment horizontal="left" vertical="center" indent="1"/>
    </xf>
    <xf numFmtId="167" fontId="12" fillId="0" borderId="10" xfId="3" applyNumberFormat="1" applyFont="1" applyBorder="1">
      <alignment horizontal="right" vertical="center"/>
    </xf>
    <xf numFmtId="0" fontId="0" fillId="0" borderId="10" xfId="0" applyBorder="1"/>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7" fontId="3" fillId="0" borderId="8" xfId="3"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2" fillId="0" borderId="5" xfId="0" applyFont="1" applyBorder="1"/>
    <xf numFmtId="168" fontId="1" fillId="5" borderId="7" xfId="5" applyNumberFormat="1" applyBorder="1">
      <alignment horizontal="right" vertical="center"/>
    </xf>
    <xf numFmtId="0" fontId="21" fillId="0" borderId="6"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0" fontId="21" fillId="0" borderId="0" xfId="0" applyFont="1" applyAlignment="1">
      <alignment horizontal="left" vertical="center" indent="1"/>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6">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Poisson</c:v>
          </c:tx>
          <c:spPr>
            <a:ln w="25400">
              <a:solidFill>
                <a:srgbClr val="0E4F92"/>
              </a:solidFill>
              <a:prstDash val="solid"/>
            </a:ln>
          </c:spPr>
          <c:marker>
            <c:symbol val="none"/>
          </c:marker>
          <c:xVal>
            <c:numRef>
              <c:f>Results!$D$61:$D$110</c:f>
              <c:numCache>
                <c:formatCode>#,##0.00</c:formatCode>
                <c:ptCount val="50"/>
                <c:pt idx="0">
                  <c:v>1509</c:v>
                </c:pt>
                <c:pt idx="1">
                  <c:v>1529</c:v>
                </c:pt>
                <c:pt idx="2">
                  <c:v>1538</c:v>
                </c:pt>
                <c:pt idx="3">
                  <c:v>1544</c:v>
                </c:pt>
                <c:pt idx="4">
                  <c:v>1550</c:v>
                </c:pt>
                <c:pt idx="5">
                  <c:v>1554</c:v>
                </c:pt>
                <c:pt idx="6">
                  <c:v>1559</c:v>
                </c:pt>
                <c:pt idx="7">
                  <c:v>1563</c:v>
                </c:pt>
                <c:pt idx="8">
                  <c:v>1566</c:v>
                </c:pt>
                <c:pt idx="9">
                  <c:v>1569</c:v>
                </c:pt>
                <c:pt idx="10">
                  <c:v>1572</c:v>
                </c:pt>
                <c:pt idx="11">
                  <c:v>1574</c:v>
                </c:pt>
                <c:pt idx="12">
                  <c:v>1577</c:v>
                </c:pt>
                <c:pt idx="13">
                  <c:v>1580</c:v>
                </c:pt>
                <c:pt idx="14">
                  <c:v>1582</c:v>
                </c:pt>
                <c:pt idx="15">
                  <c:v>1584</c:v>
                </c:pt>
                <c:pt idx="16">
                  <c:v>1586</c:v>
                </c:pt>
                <c:pt idx="17">
                  <c:v>1588</c:v>
                </c:pt>
                <c:pt idx="18">
                  <c:v>1590</c:v>
                </c:pt>
                <c:pt idx="19">
                  <c:v>1593</c:v>
                </c:pt>
                <c:pt idx="20">
                  <c:v>1595</c:v>
                </c:pt>
                <c:pt idx="21">
                  <c:v>1596</c:v>
                </c:pt>
                <c:pt idx="22">
                  <c:v>1598</c:v>
                </c:pt>
                <c:pt idx="23">
                  <c:v>1600</c:v>
                </c:pt>
                <c:pt idx="24">
                  <c:v>1602</c:v>
                </c:pt>
                <c:pt idx="25">
                  <c:v>1605</c:v>
                </c:pt>
                <c:pt idx="26">
                  <c:v>1607</c:v>
                </c:pt>
                <c:pt idx="27">
                  <c:v>1609</c:v>
                </c:pt>
                <c:pt idx="28">
                  <c:v>1611</c:v>
                </c:pt>
                <c:pt idx="29">
                  <c:v>1614</c:v>
                </c:pt>
                <c:pt idx="30">
                  <c:v>1616</c:v>
                </c:pt>
                <c:pt idx="31">
                  <c:v>1618</c:v>
                </c:pt>
                <c:pt idx="32">
                  <c:v>1620</c:v>
                </c:pt>
                <c:pt idx="33">
                  <c:v>1622</c:v>
                </c:pt>
                <c:pt idx="34">
                  <c:v>1624</c:v>
                </c:pt>
                <c:pt idx="35">
                  <c:v>1627</c:v>
                </c:pt>
                <c:pt idx="36">
                  <c:v>1629</c:v>
                </c:pt>
                <c:pt idx="37">
                  <c:v>1632</c:v>
                </c:pt>
                <c:pt idx="38">
                  <c:v>1634</c:v>
                </c:pt>
                <c:pt idx="39">
                  <c:v>1637</c:v>
                </c:pt>
                <c:pt idx="40">
                  <c:v>1640</c:v>
                </c:pt>
                <c:pt idx="41">
                  <c:v>1643</c:v>
                </c:pt>
                <c:pt idx="42">
                  <c:v>1646</c:v>
                </c:pt>
                <c:pt idx="43">
                  <c:v>1650</c:v>
                </c:pt>
                <c:pt idx="44">
                  <c:v>1653</c:v>
                </c:pt>
                <c:pt idx="45">
                  <c:v>1658</c:v>
                </c:pt>
                <c:pt idx="46">
                  <c:v>1664</c:v>
                </c:pt>
                <c:pt idx="47">
                  <c:v>1672</c:v>
                </c:pt>
                <c:pt idx="48">
                  <c:v>1681</c:v>
                </c:pt>
                <c:pt idx="49">
                  <c:v>1699</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F1DE-49A0-A2B2-6B503FC6103E}"/>
            </c:ext>
          </c:extLst>
        </c:ser>
        <c:ser>
          <c:idx val="1"/>
          <c:order val="1"/>
          <c:tx>
            <c:v>Pólya, each week</c:v>
          </c:tx>
          <c:spPr>
            <a:ln w="25400">
              <a:solidFill>
                <a:srgbClr val="B45309"/>
              </a:solidFill>
              <a:prstDash val="dash"/>
            </a:ln>
          </c:spPr>
          <c:marker>
            <c:symbol val="none"/>
          </c:marker>
          <c:xVal>
            <c:numRef>
              <c:f>Results!$E$61:$E$110</c:f>
              <c:numCache>
                <c:formatCode>#,##0.00</c:formatCode>
                <c:ptCount val="50"/>
                <c:pt idx="0">
                  <c:v>1312</c:v>
                </c:pt>
                <c:pt idx="1">
                  <c:v>1364</c:v>
                </c:pt>
                <c:pt idx="2">
                  <c:v>1393</c:v>
                </c:pt>
                <c:pt idx="3">
                  <c:v>1413</c:v>
                </c:pt>
                <c:pt idx="4">
                  <c:v>1430</c:v>
                </c:pt>
                <c:pt idx="5">
                  <c:v>1442</c:v>
                </c:pt>
                <c:pt idx="6">
                  <c:v>1455</c:v>
                </c:pt>
                <c:pt idx="7">
                  <c:v>1467</c:v>
                </c:pt>
                <c:pt idx="8">
                  <c:v>1477</c:v>
                </c:pt>
                <c:pt idx="9">
                  <c:v>1487</c:v>
                </c:pt>
                <c:pt idx="10">
                  <c:v>1497</c:v>
                </c:pt>
                <c:pt idx="11">
                  <c:v>1506</c:v>
                </c:pt>
                <c:pt idx="12">
                  <c:v>1514</c:v>
                </c:pt>
                <c:pt idx="13">
                  <c:v>1521</c:v>
                </c:pt>
                <c:pt idx="14">
                  <c:v>1529</c:v>
                </c:pt>
                <c:pt idx="15">
                  <c:v>1535</c:v>
                </c:pt>
                <c:pt idx="16">
                  <c:v>1543</c:v>
                </c:pt>
                <c:pt idx="17">
                  <c:v>1551</c:v>
                </c:pt>
                <c:pt idx="18">
                  <c:v>1557</c:v>
                </c:pt>
                <c:pt idx="19">
                  <c:v>1564</c:v>
                </c:pt>
                <c:pt idx="20">
                  <c:v>1570</c:v>
                </c:pt>
                <c:pt idx="21">
                  <c:v>1576</c:v>
                </c:pt>
                <c:pt idx="22">
                  <c:v>1583</c:v>
                </c:pt>
                <c:pt idx="23">
                  <c:v>1589</c:v>
                </c:pt>
                <c:pt idx="24">
                  <c:v>1596</c:v>
                </c:pt>
                <c:pt idx="25">
                  <c:v>1603</c:v>
                </c:pt>
                <c:pt idx="26">
                  <c:v>1609</c:v>
                </c:pt>
                <c:pt idx="27">
                  <c:v>1616</c:v>
                </c:pt>
                <c:pt idx="28">
                  <c:v>1623</c:v>
                </c:pt>
                <c:pt idx="29">
                  <c:v>1630</c:v>
                </c:pt>
                <c:pt idx="30">
                  <c:v>1636</c:v>
                </c:pt>
                <c:pt idx="31">
                  <c:v>1643</c:v>
                </c:pt>
                <c:pt idx="32">
                  <c:v>1651</c:v>
                </c:pt>
                <c:pt idx="33">
                  <c:v>1658</c:v>
                </c:pt>
                <c:pt idx="34">
                  <c:v>1665</c:v>
                </c:pt>
                <c:pt idx="35">
                  <c:v>1674</c:v>
                </c:pt>
                <c:pt idx="36">
                  <c:v>1682</c:v>
                </c:pt>
                <c:pt idx="37">
                  <c:v>1690</c:v>
                </c:pt>
                <c:pt idx="38">
                  <c:v>1699</c:v>
                </c:pt>
                <c:pt idx="39">
                  <c:v>1708</c:v>
                </c:pt>
                <c:pt idx="40">
                  <c:v>1717</c:v>
                </c:pt>
                <c:pt idx="41">
                  <c:v>1728</c:v>
                </c:pt>
                <c:pt idx="42">
                  <c:v>1739</c:v>
                </c:pt>
                <c:pt idx="43">
                  <c:v>1752</c:v>
                </c:pt>
                <c:pt idx="44">
                  <c:v>1767</c:v>
                </c:pt>
                <c:pt idx="45">
                  <c:v>1784</c:v>
                </c:pt>
                <c:pt idx="46">
                  <c:v>1803</c:v>
                </c:pt>
                <c:pt idx="47">
                  <c:v>1828</c:v>
                </c:pt>
                <c:pt idx="48">
                  <c:v>1859</c:v>
                </c:pt>
                <c:pt idx="49">
                  <c:v>1924</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F1DE-49A0-A2B2-6B503FC6103E}"/>
            </c:ext>
          </c:extLst>
        </c:ser>
        <c:ser>
          <c:idx val="2"/>
          <c:order val="2"/>
          <c:tx>
            <c:v>Pólya, shared level</c:v>
          </c:tx>
          <c:spPr>
            <a:ln w="25400">
              <a:solidFill>
                <a:srgbClr val="15803D"/>
              </a:solidFill>
              <a:prstDash val="solid"/>
            </a:ln>
          </c:spPr>
          <c:marker>
            <c:symbol val="none"/>
          </c:marker>
          <c:xVal>
            <c:numRef>
              <c:f>Results!$F$61:$F$110</c:f>
              <c:numCache>
                <c:formatCode>#,##0.00</c:formatCode>
                <c:ptCount val="50"/>
                <c:pt idx="0">
                  <c:v>259</c:v>
                </c:pt>
                <c:pt idx="1">
                  <c:v>383</c:v>
                </c:pt>
                <c:pt idx="2">
                  <c:v>456</c:v>
                </c:pt>
                <c:pt idx="3">
                  <c:v>521</c:v>
                </c:pt>
                <c:pt idx="4">
                  <c:v>585</c:v>
                </c:pt>
                <c:pt idx="5">
                  <c:v>639</c:v>
                </c:pt>
                <c:pt idx="6">
                  <c:v>697</c:v>
                </c:pt>
                <c:pt idx="7">
                  <c:v>752</c:v>
                </c:pt>
                <c:pt idx="8">
                  <c:v>799</c:v>
                </c:pt>
                <c:pt idx="9">
                  <c:v>844</c:v>
                </c:pt>
                <c:pt idx="10">
                  <c:v>887</c:v>
                </c:pt>
                <c:pt idx="11">
                  <c:v>928</c:v>
                </c:pt>
                <c:pt idx="12">
                  <c:v>969</c:v>
                </c:pt>
                <c:pt idx="13">
                  <c:v>1006</c:v>
                </c:pt>
                <c:pt idx="14">
                  <c:v>1044</c:v>
                </c:pt>
                <c:pt idx="15">
                  <c:v>1077</c:v>
                </c:pt>
                <c:pt idx="16">
                  <c:v>1112</c:v>
                </c:pt>
                <c:pt idx="17">
                  <c:v>1152</c:v>
                </c:pt>
                <c:pt idx="18">
                  <c:v>1191</c:v>
                </c:pt>
                <c:pt idx="19">
                  <c:v>1229</c:v>
                </c:pt>
                <c:pt idx="20">
                  <c:v>1271</c:v>
                </c:pt>
                <c:pt idx="21">
                  <c:v>1307</c:v>
                </c:pt>
                <c:pt idx="22">
                  <c:v>1344</c:v>
                </c:pt>
                <c:pt idx="23">
                  <c:v>1380</c:v>
                </c:pt>
                <c:pt idx="24">
                  <c:v>1421</c:v>
                </c:pt>
                <c:pt idx="25">
                  <c:v>1465</c:v>
                </c:pt>
                <c:pt idx="26">
                  <c:v>1507</c:v>
                </c:pt>
                <c:pt idx="27">
                  <c:v>1546</c:v>
                </c:pt>
                <c:pt idx="28">
                  <c:v>1588</c:v>
                </c:pt>
                <c:pt idx="29">
                  <c:v>1631</c:v>
                </c:pt>
                <c:pt idx="30">
                  <c:v>1673</c:v>
                </c:pt>
                <c:pt idx="31">
                  <c:v>1723</c:v>
                </c:pt>
                <c:pt idx="32">
                  <c:v>1768</c:v>
                </c:pt>
                <c:pt idx="33">
                  <c:v>1821</c:v>
                </c:pt>
                <c:pt idx="34">
                  <c:v>1877</c:v>
                </c:pt>
                <c:pt idx="35">
                  <c:v>1940</c:v>
                </c:pt>
                <c:pt idx="36">
                  <c:v>2003</c:v>
                </c:pt>
                <c:pt idx="37">
                  <c:v>2065</c:v>
                </c:pt>
                <c:pt idx="38">
                  <c:v>2132</c:v>
                </c:pt>
                <c:pt idx="39">
                  <c:v>2192</c:v>
                </c:pt>
                <c:pt idx="40">
                  <c:v>2262</c:v>
                </c:pt>
                <c:pt idx="41">
                  <c:v>2353</c:v>
                </c:pt>
                <c:pt idx="42">
                  <c:v>2440</c:v>
                </c:pt>
                <c:pt idx="43">
                  <c:v>2540</c:v>
                </c:pt>
                <c:pt idx="44">
                  <c:v>2656</c:v>
                </c:pt>
                <c:pt idx="45">
                  <c:v>2805</c:v>
                </c:pt>
                <c:pt idx="46">
                  <c:v>3006</c:v>
                </c:pt>
                <c:pt idx="47">
                  <c:v>3255</c:v>
                </c:pt>
                <c:pt idx="48">
                  <c:v>3641</c:v>
                </c:pt>
                <c:pt idx="49">
                  <c:v>4298</c:v>
                </c:pt>
              </c:numCache>
            </c:numRef>
          </c:xVal>
          <c:yVal>
            <c:numRef>
              <c:f>Results!$B$61:$B$110</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F1DE-49A0-A2B2-6B503FC6103E}"/>
            </c:ext>
          </c:extLst>
        </c:ser>
        <c:dLbls>
          <c:showLegendKey val="0"/>
          <c:showVal val="0"/>
          <c:showCatName val="0"/>
          <c:showSerName val="0"/>
          <c:showPercent val="0"/>
          <c:showBubbleSize val="0"/>
        </c:dLbls>
        <c:axId val="10"/>
        <c:axId val="20"/>
      </c:scatterChart>
      <c:valAx>
        <c:axId val="10"/>
        <c:scaling>
          <c:orientation val="minMax"/>
          <c:min val="0"/>
        </c:scaling>
        <c:delete val="0"/>
        <c:axPos val="b"/>
        <c:title>
          <c:tx>
            <c:rich>
              <a:bodyPr/>
              <a:lstStyle/>
              <a:p>
                <a:pPr>
                  <a:defRPr/>
                </a:pPr>
                <a:r>
                  <a:rPr lang="en-US"/>
                  <a:t>Calls in the year</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Results!$B$113:$B$162</c:f>
              <c:strCache>
                <c:ptCount val="5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strCache>
            </c:strRef>
          </c:cat>
          <c:val>
            <c:numRef>
              <c:f>Results!$E$113:$E$162</c:f>
              <c:numCache>
                <c:formatCode>#,##0.00</c:formatCode>
                <c:ptCount val="50"/>
                <c:pt idx="0">
                  <c:v>34</c:v>
                </c:pt>
                <c:pt idx="1">
                  <c:v>34</c:v>
                </c:pt>
                <c:pt idx="2">
                  <c:v>35</c:v>
                </c:pt>
                <c:pt idx="3">
                  <c:v>35</c:v>
                </c:pt>
                <c:pt idx="4">
                  <c:v>35</c:v>
                </c:pt>
                <c:pt idx="5">
                  <c:v>35</c:v>
                </c:pt>
                <c:pt idx="6">
                  <c:v>35</c:v>
                </c:pt>
                <c:pt idx="7">
                  <c:v>36</c:v>
                </c:pt>
                <c:pt idx="8">
                  <c:v>36</c:v>
                </c:pt>
                <c:pt idx="9">
                  <c:v>36</c:v>
                </c:pt>
                <c:pt idx="10">
                  <c:v>36</c:v>
                </c:pt>
                <c:pt idx="11">
                  <c:v>36</c:v>
                </c:pt>
                <c:pt idx="12">
                  <c:v>37</c:v>
                </c:pt>
                <c:pt idx="13">
                  <c:v>37</c:v>
                </c:pt>
                <c:pt idx="14">
                  <c:v>37</c:v>
                </c:pt>
                <c:pt idx="15">
                  <c:v>37</c:v>
                </c:pt>
                <c:pt idx="16">
                  <c:v>38</c:v>
                </c:pt>
                <c:pt idx="17">
                  <c:v>38</c:v>
                </c:pt>
                <c:pt idx="18">
                  <c:v>38</c:v>
                </c:pt>
                <c:pt idx="19">
                  <c:v>38</c:v>
                </c:pt>
                <c:pt idx="20">
                  <c:v>38</c:v>
                </c:pt>
                <c:pt idx="21">
                  <c:v>39</c:v>
                </c:pt>
                <c:pt idx="22">
                  <c:v>39</c:v>
                </c:pt>
                <c:pt idx="23">
                  <c:v>39</c:v>
                </c:pt>
                <c:pt idx="24">
                  <c:v>39</c:v>
                </c:pt>
                <c:pt idx="25">
                  <c:v>39</c:v>
                </c:pt>
                <c:pt idx="26">
                  <c:v>40</c:v>
                </c:pt>
                <c:pt idx="27">
                  <c:v>40</c:v>
                </c:pt>
                <c:pt idx="28">
                  <c:v>40</c:v>
                </c:pt>
                <c:pt idx="29">
                  <c:v>40</c:v>
                </c:pt>
                <c:pt idx="30">
                  <c:v>41</c:v>
                </c:pt>
                <c:pt idx="31">
                  <c:v>41</c:v>
                </c:pt>
                <c:pt idx="32">
                  <c:v>41</c:v>
                </c:pt>
                <c:pt idx="33">
                  <c:v>42</c:v>
                </c:pt>
                <c:pt idx="34">
                  <c:v>42</c:v>
                </c:pt>
                <c:pt idx="35">
                  <c:v>42</c:v>
                </c:pt>
                <c:pt idx="36">
                  <c:v>42</c:v>
                </c:pt>
                <c:pt idx="37">
                  <c:v>42</c:v>
                </c:pt>
                <c:pt idx="38">
                  <c:v>42</c:v>
                </c:pt>
                <c:pt idx="39">
                  <c:v>43</c:v>
                </c:pt>
                <c:pt idx="40">
                  <c:v>43</c:v>
                </c:pt>
                <c:pt idx="41">
                  <c:v>43</c:v>
                </c:pt>
                <c:pt idx="42">
                  <c:v>43</c:v>
                </c:pt>
                <c:pt idx="43">
                  <c:v>43</c:v>
                </c:pt>
                <c:pt idx="44">
                  <c:v>44</c:v>
                </c:pt>
                <c:pt idx="45">
                  <c:v>44</c:v>
                </c:pt>
                <c:pt idx="46">
                  <c:v>44</c:v>
                </c:pt>
                <c:pt idx="47">
                  <c:v>44</c:v>
                </c:pt>
                <c:pt idx="48">
                  <c:v>45</c:v>
                </c:pt>
                <c:pt idx="49">
                  <c:v>45</c:v>
                </c:pt>
              </c:numCache>
            </c:numRef>
          </c:val>
          <c:smooth val="0"/>
          <c:extLst>
            <c:ext xmlns:c16="http://schemas.microsoft.com/office/drawing/2014/chart" uri="{C3380CC4-5D6E-409C-BE32-E72D297353CC}">
              <c16:uniqueId val="{00000000-0B9B-4915-A46C-304A53F9D45A}"/>
            </c:ext>
          </c:extLst>
        </c:ser>
        <c:ser>
          <c:idx val="1"/>
          <c:order val="1"/>
          <c:tx>
            <c:v>Median</c:v>
          </c:tx>
          <c:spPr>
            <a:ln w="28575">
              <a:solidFill>
                <a:srgbClr val="0E4F92"/>
              </a:solidFill>
              <a:prstDash val="solid"/>
            </a:ln>
          </c:spPr>
          <c:marker>
            <c:symbol val="none"/>
          </c:marker>
          <c:cat>
            <c:strRef>
              <c:f>Results!$B$113:$B$162</c:f>
              <c:strCache>
                <c:ptCount val="5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strCache>
            </c:strRef>
          </c:cat>
          <c:val>
            <c:numRef>
              <c:f>Results!$D$113:$D$162</c:f>
              <c:numCache>
                <c:formatCode>#,##0.00</c:formatCode>
                <c:ptCount val="50"/>
                <c:pt idx="0">
                  <c:v>27</c:v>
                </c:pt>
                <c:pt idx="1">
                  <c:v>27</c:v>
                </c:pt>
                <c:pt idx="2">
                  <c:v>27</c:v>
                </c:pt>
                <c:pt idx="3">
                  <c:v>28</c:v>
                </c:pt>
                <c:pt idx="4">
                  <c:v>28</c:v>
                </c:pt>
                <c:pt idx="5">
                  <c:v>28</c:v>
                </c:pt>
                <c:pt idx="6">
                  <c:v>28</c:v>
                </c:pt>
                <c:pt idx="7">
                  <c:v>28</c:v>
                </c:pt>
                <c:pt idx="8">
                  <c:v>29</c:v>
                </c:pt>
                <c:pt idx="9">
                  <c:v>29</c:v>
                </c:pt>
                <c:pt idx="10">
                  <c:v>29</c:v>
                </c:pt>
                <c:pt idx="11">
                  <c:v>29</c:v>
                </c:pt>
                <c:pt idx="12">
                  <c:v>29</c:v>
                </c:pt>
                <c:pt idx="13">
                  <c:v>30</c:v>
                </c:pt>
                <c:pt idx="14">
                  <c:v>30</c:v>
                </c:pt>
                <c:pt idx="15">
                  <c:v>30</c:v>
                </c:pt>
                <c:pt idx="16">
                  <c:v>30</c:v>
                </c:pt>
                <c:pt idx="17">
                  <c:v>30</c:v>
                </c:pt>
                <c:pt idx="18">
                  <c:v>31</c:v>
                </c:pt>
                <c:pt idx="19">
                  <c:v>31</c:v>
                </c:pt>
                <c:pt idx="20">
                  <c:v>31</c:v>
                </c:pt>
                <c:pt idx="21">
                  <c:v>31</c:v>
                </c:pt>
                <c:pt idx="22">
                  <c:v>31</c:v>
                </c:pt>
                <c:pt idx="23">
                  <c:v>32</c:v>
                </c:pt>
                <c:pt idx="24">
                  <c:v>32</c:v>
                </c:pt>
                <c:pt idx="25">
                  <c:v>32</c:v>
                </c:pt>
                <c:pt idx="26">
                  <c:v>32</c:v>
                </c:pt>
                <c:pt idx="27">
                  <c:v>32</c:v>
                </c:pt>
                <c:pt idx="28">
                  <c:v>33</c:v>
                </c:pt>
                <c:pt idx="29">
                  <c:v>33</c:v>
                </c:pt>
                <c:pt idx="30">
                  <c:v>33</c:v>
                </c:pt>
                <c:pt idx="31">
                  <c:v>33</c:v>
                </c:pt>
                <c:pt idx="32">
                  <c:v>33</c:v>
                </c:pt>
                <c:pt idx="33">
                  <c:v>34</c:v>
                </c:pt>
                <c:pt idx="34">
                  <c:v>34</c:v>
                </c:pt>
                <c:pt idx="35">
                  <c:v>34</c:v>
                </c:pt>
                <c:pt idx="36">
                  <c:v>34</c:v>
                </c:pt>
                <c:pt idx="37">
                  <c:v>34</c:v>
                </c:pt>
                <c:pt idx="38">
                  <c:v>35</c:v>
                </c:pt>
                <c:pt idx="39">
                  <c:v>35</c:v>
                </c:pt>
                <c:pt idx="40">
                  <c:v>35</c:v>
                </c:pt>
                <c:pt idx="41">
                  <c:v>35</c:v>
                </c:pt>
                <c:pt idx="42">
                  <c:v>35</c:v>
                </c:pt>
                <c:pt idx="43">
                  <c:v>36</c:v>
                </c:pt>
                <c:pt idx="44">
                  <c:v>36</c:v>
                </c:pt>
                <c:pt idx="45">
                  <c:v>36</c:v>
                </c:pt>
                <c:pt idx="46">
                  <c:v>36</c:v>
                </c:pt>
                <c:pt idx="47">
                  <c:v>36</c:v>
                </c:pt>
                <c:pt idx="48">
                  <c:v>37</c:v>
                </c:pt>
                <c:pt idx="49">
                  <c:v>37</c:v>
                </c:pt>
              </c:numCache>
            </c:numRef>
          </c:val>
          <c:smooth val="0"/>
          <c:extLst>
            <c:ext xmlns:c16="http://schemas.microsoft.com/office/drawing/2014/chart" uri="{C3380CC4-5D6E-409C-BE32-E72D297353CC}">
              <c16:uniqueId val="{00000001-0B9B-4915-A46C-304A53F9D45A}"/>
            </c:ext>
          </c:extLst>
        </c:ser>
        <c:ser>
          <c:idx val="2"/>
          <c:order val="2"/>
          <c:tx>
            <c:v>Mean</c:v>
          </c:tx>
          <c:spPr>
            <a:ln w="19050">
              <a:solidFill>
                <a:srgbClr val="B45309"/>
              </a:solidFill>
              <a:prstDash val="solid"/>
            </a:ln>
          </c:spPr>
          <c:marker>
            <c:symbol val="none"/>
          </c:marker>
          <c:cat>
            <c:strRef>
              <c:f>Results!$B$113:$B$162</c:f>
              <c:strCache>
                <c:ptCount val="5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strCache>
            </c:strRef>
          </c:cat>
          <c:val>
            <c:numRef>
              <c:f>Results!$F$113:$F$162</c:f>
              <c:numCache>
                <c:formatCode>#,##0.00</c:formatCode>
                <c:ptCount val="50"/>
                <c:pt idx="0">
                  <c:v>27.239361968098404</c:v>
                </c:pt>
                <c:pt idx="1">
                  <c:v>27.428921446072305</c:v>
                </c:pt>
                <c:pt idx="2">
                  <c:v>27.617830891544578</c:v>
                </c:pt>
                <c:pt idx="3">
                  <c:v>27.869593479673984</c:v>
                </c:pt>
                <c:pt idx="4">
                  <c:v>28.031451572578629</c:v>
                </c:pt>
                <c:pt idx="5">
                  <c:v>28.251912595629783</c:v>
                </c:pt>
                <c:pt idx="6">
                  <c:v>28.353517675883793</c:v>
                </c:pt>
                <c:pt idx="7">
                  <c:v>28.662533126656331</c:v>
                </c:pt>
                <c:pt idx="8">
                  <c:v>28.833641682084103</c:v>
                </c:pt>
                <c:pt idx="9">
                  <c:v>28.961298064903247</c:v>
                </c:pt>
                <c:pt idx="10">
                  <c:v>29.261113055652782</c:v>
                </c:pt>
                <c:pt idx="11">
                  <c:v>29.306965348267415</c:v>
                </c:pt>
                <c:pt idx="12">
                  <c:v>29.476373818690934</c:v>
                </c:pt>
                <c:pt idx="13">
                  <c:v>29.793439671983599</c:v>
                </c:pt>
                <c:pt idx="14">
                  <c:v>29.90339516975849</c:v>
                </c:pt>
                <c:pt idx="15">
                  <c:v>30.233511675583781</c:v>
                </c:pt>
                <c:pt idx="16">
                  <c:v>30.356767838391921</c:v>
                </c:pt>
                <c:pt idx="17">
                  <c:v>30.582579128956446</c:v>
                </c:pt>
                <c:pt idx="18">
                  <c:v>30.842742137106857</c:v>
                </c:pt>
                <c:pt idx="19">
                  <c:v>30.909095454772739</c:v>
                </c:pt>
                <c:pt idx="20">
                  <c:v>31.040352017600881</c:v>
                </c:pt>
                <c:pt idx="21">
                  <c:v>31.460673033651684</c:v>
                </c:pt>
                <c:pt idx="22">
                  <c:v>31.572728636431822</c:v>
                </c:pt>
                <c:pt idx="23">
                  <c:v>31.779738986949347</c:v>
                </c:pt>
                <c:pt idx="24">
                  <c:v>32.023351167558381</c:v>
                </c:pt>
                <c:pt idx="25">
                  <c:v>32.143307165358266</c:v>
                </c:pt>
                <c:pt idx="26">
                  <c:v>32.372068603430172</c:v>
                </c:pt>
                <c:pt idx="27">
                  <c:v>32.571828591429572</c:v>
                </c:pt>
                <c:pt idx="28">
                  <c:v>32.860943047152361</c:v>
                </c:pt>
                <c:pt idx="29">
                  <c:v>32.994149707485377</c:v>
                </c:pt>
                <c:pt idx="30">
                  <c:v>33.204860243012149</c:v>
                </c:pt>
                <c:pt idx="31">
                  <c:v>33.418170908545427</c:v>
                </c:pt>
                <c:pt idx="32">
                  <c:v>33.482424121206058</c:v>
                </c:pt>
                <c:pt idx="33">
                  <c:v>33.7738386919346</c:v>
                </c:pt>
                <c:pt idx="34">
                  <c:v>33.996499824991247</c:v>
                </c:pt>
                <c:pt idx="35">
                  <c:v>34.265663283164159</c:v>
                </c:pt>
                <c:pt idx="36">
                  <c:v>34.41537076853843</c:v>
                </c:pt>
                <c:pt idx="37">
                  <c:v>34.612830641532078</c:v>
                </c:pt>
                <c:pt idx="38">
                  <c:v>34.746887344367217</c:v>
                </c:pt>
                <c:pt idx="39">
                  <c:v>34.971948597429872</c:v>
                </c:pt>
                <c:pt idx="40">
                  <c:v>35.075753787689386</c:v>
                </c:pt>
                <c:pt idx="41">
                  <c:v>35.452672633631678</c:v>
                </c:pt>
                <c:pt idx="42">
                  <c:v>35.497274863743186</c:v>
                </c:pt>
                <c:pt idx="43">
                  <c:v>35.703185159257963</c:v>
                </c:pt>
                <c:pt idx="44">
                  <c:v>35.994549727486373</c:v>
                </c:pt>
                <c:pt idx="45">
                  <c:v>36.172008600430019</c:v>
                </c:pt>
                <c:pt idx="46">
                  <c:v>36.3863193159658</c:v>
                </c:pt>
                <c:pt idx="47">
                  <c:v>36.50492524626231</c:v>
                </c:pt>
                <c:pt idx="48">
                  <c:v>36.828291414570728</c:v>
                </c:pt>
                <c:pt idx="49">
                  <c:v>36.938846942347119</c:v>
                </c:pt>
              </c:numCache>
            </c:numRef>
          </c:val>
          <c:smooth val="0"/>
          <c:extLst>
            <c:ext xmlns:c16="http://schemas.microsoft.com/office/drawing/2014/chart" uri="{C3380CC4-5D6E-409C-BE32-E72D297353CC}">
              <c16:uniqueId val="{00000002-0B9B-4915-A46C-304A53F9D45A}"/>
            </c:ext>
          </c:extLst>
        </c:ser>
        <c:ser>
          <c:idx val="3"/>
          <c:order val="3"/>
          <c:tx>
            <c:v>10th percentile</c:v>
          </c:tx>
          <c:spPr>
            <a:ln w="15875">
              <a:solidFill>
                <a:srgbClr val="0E4F92"/>
              </a:solidFill>
              <a:prstDash val="dash"/>
            </a:ln>
          </c:spPr>
          <c:marker>
            <c:symbol val="none"/>
          </c:marker>
          <c:cat>
            <c:strRef>
              <c:f>Results!$B$113:$B$162</c:f>
              <c:strCache>
                <c:ptCount val="5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strCache>
            </c:strRef>
          </c:cat>
          <c:val>
            <c:numRef>
              <c:f>Results!$C$113:$C$162</c:f>
              <c:numCache>
                <c:formatCode>#,##0.00</c:formatCode>
                <c:ptCount val="50"/>
                <c:pt idx="0">
                  <c:v>21</c:v>
                </c:pt>
                <c:pt idx="1">
                  <c:v>21</c:v>
                </c:pt>
                <c:pt idx="2">
                  <c:v>21</c:v>
                </c:pt>
                <c:pt idx="3">
                  <c:v>21</c:v>
                </c:pt>
                <c:pt idx="4">
                  <c:v>21</c:v>
                </c:pt>
                <c:pt idx="5">
                  <c:v>22</c:v>
                </c:pt>
                <c:pt idx="6">
                  <c:v>22</c:v>
                </c:pt>
                <c:pt idx="7">
                  <c:v>22</c:v>
                </c:pt>
                <c:pt idx="8">
                  <c:v>22</c:v>
                </c:pt>
                <c:pt idx="9">
                  <c:v>22</c:v>
                </c:pt>
                <c:pt idx="10">
                  <c:v>22</c:v>
                </c:pt>
                <c:pt idx="11">
                  <c:v>22</c:v>
                </c:pt>
                <c:pt idx="12">
                  <c:v>23</c:v>
                </c:pt>
                <c:pt idx="13">
                  <c:v>23</c:v>
                </c:pt>
                <c:pt idx="14">
                  <c:v>23</c:v>
                </c:pt>
                <c:pt idx="15">
                  <c:v>23</c:v>
                </c:pt>
                <c:pt idx="16">
                  <c:v>23</c:v>
                </c:pt>
                <c:pt idx="17">
                  <c:v>24</c:v>
                </c:pt>
                <c:pt idx="18">
                  <c:v>24</c:v>
                </c:pt>
                <c:pt idx="19">
                  <c:v>24</c:v>
                </c:pt>
                <c:pt idx="20">
                  <c:v>24</c:v>
                </c:pt>
                <c:pt idx="21">
                  <c:v>24</c:v>
                </c:pt>
                <c:pt idx="22">
                  <c:v>25</c:v>
                </c:pt>
                <c:pt idx="23">
                  <c:v>25</c:v>
                </c:pt>
                <c:pt idx="24">
                  <c:v>25</c:v>
                </c:pt>
                <c:pt idx="25">
                  <c:v>25</c:v>
                </c:pt>
                <c:pt idx="26">
                  <c:v>25</c:v>
                </c:pt>
                <c:pt idx="27">
                  <c:v>25</c:v>
                </c:pt>
                <c:pt idx="28">
                  <c:v>26</c:v>
                </c:pt>
                <c:pt idx="29">
                  <c:v>26</c:v>
                </c:pt>
                <c:pt idx="30">
                  <c:v>26</c:v>
                </c:pt>
                <c:pt idx="31">
                  <c:v>26</c:v>
                </c:pt>
                <c:pt idx="32">
                  <c:v>26</c:v>
                </c:pt>
                <c:pt idx="33">
                  <c:v>26</c:v>
                </c:pt>
                <c:pt idx="34">
                  <c:v>27</c:v>
                </c:pt>
                <c:pt idx="35">
                  <c:v>27</c:v>
                </c:pt>
                <c:pt idx="36">
                  <c:v>27</c:v>
                </c:pt>
                <c:pt idx="37">
                  <c:v>27</c:v>
                </c:pt>
                <c:pt idx="38">
                  <c:v>27</c:v>
                </c:pt>
                <c:pt idx="39">
                  <c:v>28</c:v>
                </c:pt>
                <c:pt idx="40">
                  <c:v>28</c:v>
                </c:pt>
                <c:pt idx="41">
                  <c:v>28</c:v>
                </c:pt>
                <c:pt idx="42">
                  <c:v>28</c:v>
                </c:pt>
                <c:pt idx="43">
                  <c:v>28</c:v>
                </c:pt>
                <c:pt idx="44">
                  <c:v>28</c:v>
                </c:pt>
                <c:pt idx="45">
                  <c:v>29</c:v>
                </c:pt>
                <c:pt idx="46">
                  <c:v>29</c:v>
                </c:pt>
                <c:pt idx="47">
                  <c:v>29</c:v>
                </c:pt>
                <c:pt idx="48">
                  <c:v>29</c:v>
                </c:pt>
                <c:pt idx="49">
                  <c:v>29</c:v>
                </c:pt>
              </c:numCache>
            </c:numRef>
          </c:val>
          <c:smooth val="0"/>
          <c:extLst>
            <c:ext xmlns:c16="http://schemas.microsoft.com/office/drawing/2014/chart" uri="{C3380CC4-5D6E-409C-BE32-E72D297353CC}">
              <c16:uniqueId val="{00000003-0B9B-4915-A46C-304A53F9D45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5"/>
        <c:tickMarkSkip val="5"/>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Calls per week</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Results!$B$165:$B$214</c:f>
              <c:strCache>
                <c:ptCount val="5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strCache>
            </c:strRef>
          </c:cat>
          <c:val>
            <c:numRef>
              <c:f>Results!$E$165:$E$214</c:f>
              <c:numCache>
                <c:formatCode>#,##0.00</c:formatCode>
                <c:ptCount val="50"/>
                <c:pt idx="0">
                  <c:v>48</c:v>
                </c:pt>
                <c:pt idx="1">
                  <c:v>48</c:v>
                </c:pt>
                <c:pt idx="2">
                  <c:v>48</c:v>
                </c:pt>
                <c:pt idx="3">
                  <c:v>49</c:v>
                </c:pt>
                <c:pt idx="4">
                  <c:v>49</c:v>
                </c:pt>
                <c:pt idx="5">
                  <c:v>49</c:v>
                </c:pt>
                <c:pt idx="6">
                  <c:v>50</c:v>
                </c:pt>
                <c:pt idx="7">
                  <c:v>50</c:v>
                </c:pt>
                <c:pt idx="8">
                  <c:v>51</c:v>
                </c:pt>
                <c:pt idx="9">
                  <c:v>51</c:v>
                </c:pt>
                <c:pt idx="10">
                  <c:v>51</c:v>
                </c:pt>
                <c:pt idx="11">
                  <c:v>52</c:v>
                </c:pt>
                <c:pt idx="12">
                  <c:v>52</c:v>
                </c:pt>
                <c:pt idx="13">
                  <c:v>52</c:v>
                </c:pt>
                <c:pt idx="14">
                  <c:v>53</c:v>
                </c:pt>
                <c:pt idx="15">
                  <c:v>53</c:v>
                </c:pt>
                <c:pt idx="16">
                  <c:v>53</c:v>
                </c:pt>
                <c:pt idx="17">
                  <c:v>53</c:v>
                </c:pt>
                <c:pt idx="18">
                  <c:v>54</c:v>
                </c:pt>
                <c:pt idx="19">
                  <c:v>54</c:v>
                </c:pt>
                <c:pt idx="20">
                  <c:v>54</c:v>
                </c:pt>
                <c:pt idx="21">
                  <c:v>55</c:v>
                </c:pt>
                <c:pt idx="22">
                  <c:v>55</c:v>
                </c:pt>
                <c:pt idx="23">
                  <c:v>56</c:v>
                </c:pt>
                <c:pt idx="24">
                  <c:v>56</c:v>
                </c:pt>
                <c:pt idx="25">
                  <c:v>56</c:v>
                </c:pt>
                <c:pt idx="26">
                  <c:v>57</c:v>
                </c:pt>
                <c:pt idx="27">
                  <c:v>57</c:v>
                </c:pt>
                <c:pt idx="28">
                  <c:v>57</c:v>
                </c:pt>
                <c:pt idx="29">
                  <c:v>58</c:v>
                </c:pt>
                <c:pt idx="30">
                  <c:v>57</c:v>
                </c:pt>
                <c:pt idx="31">
                  <c:v>58</c:v>
                </c:pt>
                <c:pt idx="32">
                  <c:v>59</c:v>
                </c:pt>
                <c:pt idx="33">
                  <c:v>59</c:v>
                </c:pt>
                <c:pt idx="34">
                  <c:v>59</c:v>
                </c:pt>
                <c:pt idx="35">
                  <c:v>59</c:v>
                </c:pt>
                <c:pt idx="36">
                  <c:v>60</c:v>
                </c:pt>
                <c:pt idx="37">
                  <c:v>60</c:v>
                </c:pt>
                <c:pt idx="38">
                  <c:v>61</c:v>
                </c:pt>
                <c:pt idx="39">
                  <c:v>61</c:v>
                </c:pt>
                <c:pt idx="40">
                  <c:v>61</c:v>
                </c:pt>
                <c:pt idx="41">
                  <c:v>62</c:v>
                </c:pt>
                <c:pt idx="42">
                  <c:v>62</c:v>
                </c:pt>
                <c:pt idx="43">
                  <c:v>63</c:v>
                </c:pt>
                <c:pt idx="44">
                  <c:v>63</c:v>
                </c:pt>
                <c:pt idx="45">
                  <c:v>63</c:v>
                </c:pt>
                <c:pt idx="46">
                  <c:v>63</c:v>
                </c:pt>
                <c:pt idx="47">
                  <c:v>63</c:v>
                </c:pt>
                <c:pt idx="48">
                  <c:v>64</c:v>
                </c:pt>
                <c:pt idx="49">
                  <c:v>65</c:v>
                </c:pt>
              </c:numCache>
            </c:numRef>
          </c:val>
          <c:smooth val="0"/>
          <c:extLst>
            <c:ext xmlns:c16="http://schemas.microsoft.com/office/drawing/2014/chart" uri="{C3380CC4-5D6E-409C-BE32-E72D297353CC}">
              <c16:uniqueId val="{00000000-73ED-4D14-8026-12D62211A733}"/>
            </c:ext>
          </c:extLst>
        </c:ser>
        <c:ser>
          <c:idx val="1"/>
          <c:order val="1"/>
          <c:tx>
            <c:v>Median</c:v>
          </c:tx>
          <c:spPr>
            <a:ln w="28575">
              <a:solidFill>
                <a:srgbClr val="0E4F92"/>
              </a:solidFill>
              <a:prstDash val="solid"/>
            </a:ln>
          </c:spPr>
          <c:marker>
            <c:symbol val="none"/>
          </c:marker>
          <c:cat>
            <c:strRef>
              <c:f>Results!$B$165:$B$214</c:f>
              <c:strCache>
                <c:ptCount val="5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strCache>
            </c:strRef>
          </c:cat>
          <c:val>
            <c:numRef>
              <c:f>Results!$D$165:$D$214</c:f>
              <c:numCache>
                <c:formatCode>#,##0.00</c:formatCode>
                <c:ptCount val="50"/>
                <c:pt idx="0">
                  <c:v>24</c:v>
                </c:pt>
                <c:pt idx="1">
                  <c:v>24</c:v>
                </c:pt>
                <c:pt idx="2">
                  <c:v>25</c:v>
                </c:pt>
                <c:pt idx="3">
                  <c:v>25</c:v>
                </c:pt>
                <c:pt idx="4">
                  <c:v>25</c:v>
                </c:pt>
                <c:pt idx="5">
                  <c:v>25</c:v>
                </c:pt>
                <c:pt idx="6">
                  <c:v>25</c:v>
                </c:pt>
                <c:pt idx="7">
                  <c:v>26</c:v>
                </c:pt>
                <c:pt idx="8">
                  <c:v>26</c:v>
                </c:pt>
                <c:pt idx="9">
                  <c:v>26</c:v>
                </c:pt>
                <c:pt idx="10">
                  <c:v>26</c:v>
                </c:pt>
                <c:pt idx="11">
                  <c:v>26</c:v>
                </c:pt>
                <c:pt idx="12">
                  <c:v>26</c:v>
                </c:pt>
                <c:pt idx="13">
                  <c:v>27</c:v>
                </c:pt>
                <c:pt idx="14">
                  <c:v>27</c:v>
                </c:pt>
                <c:pt idx="15">
                  <c:v>27</c:v>
                </c:pt>
                <c:pt idx="16">
                  <c:v>27</c:v>
                </c:pt>
                <c:pt idx="17">
                  <c:v>27</c:v>
                </c:pt>
                <c:pt idx="18">
                  <c:v>28</c:v>
                </c:pt>
                <c:pt idx="19">
                  <c:v>28</c:v>
                </c:pt>
                <c:pt idx="20">
                  <c:v>28</c:v>
                </c:pt>
                <c:pt idx="21">
                  <c:v>28</c:v>
                </c:pt>
                <c:pt idx="22">
                  <c:v>28</c:v>
                </c:pt>
                <c:pt idx="23">
                  <c:v>28</c:v>
                </c:pt>
                <c:pt idx="24">
                  <c:v>29</c:v>
                </c:pt>
                <c:pt idx="25">
                  <c:v>29</c:v>
                </c:pt>
                <c:pt idx="26">
                  <c:v>29</c:v>
                </c:pt>
                <c:pt idx="27">
                  <c:v>29</c:v>
                </c:pt>
                <c:pt idx="28">
                  <c:v>29</c:v>
                </c:pt>
                <c:pt idx="29">
                  <c:v>29</c:v>
                </c:pt>
                <c:pt idx="30">
                  <c:v>30</c:v>
                </c:pt>
                <c:pt idx="31">
                  <c:v>30</c:v>
                </c:pt>
                <c:pt idx="32">
                  <c:v>30</c:v>
                </c:pt>
                <c:pt idx="33">
                  <c:v>30</c:v>
                </c:pt>
                <c:pt idx="34">
                  <c:v>30</c:v>
                </c:pt>
                <c:pt idx="35">
                  <c:v>31</c:v>
                </c:pt>
                <c:pt idx="36">
                  <c:v>31</c:v>
                </c:pt>
                <c:pt idx="37">
                  <c:v>31</c:v>
                </c:pt>
                <c:pt idx="38">
                  <c:v>31</c:v>
                </c:pt>
                <c:pt idx="39">
                  <c:v>31</c:v>
                </c:pt>
                <c:pt idx="40">
                  <c:v>31</c:v>
                </c:pt>
                <c:pt idx="41">
                  <c:v>32</c:v>
                </c:pt>
                <c:pt idx="42">
                  <c:v>32</c:v>
                </c:pt>
                <c:pt idx="43">
                  <c:v>32</c:v>
                </c:pt>
                <c:pt idx="44">
                  <c:v>32</c:v>
                </c:pt>
                <c:pt idx="45">
                  <c:v>33</c:v>
                </c:pt>
                <c:pt idx="46">
                  <c:v>33</c:v>
                </c:pt>
                <c:pt idx="47">
                  <c:v>33</c:v>
                </c:pt>
                <c:pt idx="48">
                  <c:v>33</c:v>
                </c:pt>
                <c:pt idx="49">
                  <c:v>33</c:v>
                </c:pt>
              </c:numCache>
            </c:numRef>
          </c:val>
          <c:smooth val="0"/>
          <c:extLst>
            <c:ext xmlns:c16="http://schemas.microsoft.com/office/drawing/2014/chart" uri="{C3380CC4-5D6E-409C-BE32-E72D297353CC}">
              <c16:uniqueId val="{00000001-73ED-4D14-8026-12D62211A733}"/>
            </c:ext>
          </c:extLst>
        </c:ser>
        <c:ser>
          <c:idx val="2"/>
          <c:order val="2"/>
          <c:tx>
            <c:v>Mean</c:v>
          </c:tx>
          <c:spPr>
            <a:ln w="19050">
              <a:solidFill>
                <a:srgbClr val="B45309"/>
              </a:solidFill>
              <a:prstDash val="solid"/>
            </a:ln>
          </c:spPr>
          <c:marker>
            <c:symbol val="none"/>
          </c:marker>
          <c:cat>
            <c:strRef>
              <c:f>Results!$B$165:$B$214</c:f>
              <c:strCache>
                <c:ptCount val="5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strCache>
            </c:strRef>
          </c:cat>
          <c:val>
            <c:numRef>
              <c:f>Results!$F$165:$F$214</c:f>
              <c:numCache>
                <c:formatCode>#,##0.00</c:formatCode>
                <c:ptCount val="50"/>
                <c:pt idx="0">
                  <c:v>27.008250412520628</c:v>
                </c:pt>
                <c:pt idx="1">
                  <c:v>27.221311065553277</c:v>
                </c:pt>
                <c:pt idx="2">
                  <c:v>27.387369368468423</c:v>
                </c:pt>
                <c:pt idx="3">
                  <c:v>27.650382519125955</c:v>
                </c:pt>
                <c:pt idx="4">
                  <c:v>27.827441372068602</c:v>
                </c:pt>
                <c:pt idx="5">
                  <c:v>27.995349767488374</c:v>
                </c:pt>
                <c:pt idx="6">
                  <c:v>28.248512425621282</c:v>
                </c:pt>
                <c:pt idx="7">
                  <c:v>28.31831591579579</c:v>
                </c:pt>
                <c:pt idx="8">
                  <c:v>28.696234811740588</c:v>
                </c:pt>
                <c:pt idx="9">
                  <c:v>28.789139456972848</c:v>
                </c:pt>
                <c:pt idx="10">
                  <c:v>29.002650132506627</c:v>
                </c:pt>
                <c:pt idx="11">
                  <c:v>29.113855692784639</c:v>
                </c:pt>
                <c:pt idx="12">
                  <c:v>29.416820841042053</c:v>
                </c:pt>
                <c:pt idx="13">
                  <c:v>29.549077453872695</c:v>
                </c:pt>
                <c:pt idx="14">
                  <c:v>29.703435171758588</c:v>
                </c:pt>
                <c:pt idx="15">
                  <c:v>29.971848592429623</c:v>
                </c:pt>
                <c:pt idx="16">
                  <c:v>30.158807940397018</c:v>
                </c:pt>
                <c:pt idx="17">
                  <c:v>30.310665533276662</c:v>
                </c:pt>
                <c:pt idx="18">
                  <c:v>30.583129156457822</c:v>
                </c:pt>
                <c:pt idx="19">
                  <c:v>30.788689434471724</c:v>
                </c:pt>
                <c:pt idx="20">
                  <c:v>30.92819640982049</c:v>
                </c:pt>
                <c:pt idx="21">
                  <c:v>31.161758087904396</c:v>
                </c:pt>
                <c:pt idx="22">
                  <c:v>31.405420271013551</c:v>
                </c:pt>
                <c:pt idx="23">
                  <c:v>31.543177158857944</c:v>
                </c:pt>
                <c:pt idx="24">
                  <c:v>31.742487124356217</c:v>
                </c:pt>
                <c:pt idx="25">
                  <c:v>32.022701135056749</c:v>
                </c:pt>
                <c:pt idx="26">
                  <c:v>32.109855492774642</c:v>
                </c:pt>
                <c:pt idx="27">
                  <c:v>32.311615580779041</c:v>
                </c:pt>
                <c:pt idx="28">
                  <c:v>32.593179658982947</c:v>
                </c:pt>
                <c:pt idx="29">
                  <c:v>32.701235061753088</c:v>
                </c:pt>
                <c:pt idx="30">
                  <c:v>32.899344967248361</c:v>
                </c:pt>
                <c:pt idx="31">
                  <c:v>33.072753637681885</c:v>
                </c:pt>
                <c:pt idx="32">
                  <c:v>33.377168858442921</c:v>
                </c:pt>
                <c:pt idx="33">
                  <c:v>33.518225911295566</c:v>
                </c:pt>
                <c:pt idx="34">
                  <c:v>33.735136756837839</c:v>
                </c:pt>
                <c:pt idx="35">
                  <c:v>33.904145207260363</c:v>
                </c:pt>
                <c:pt idx="36">
                  <c:v>34.105155257762888</c:v>
                </c:pt>
                <c:pt idx="37">
                  <c:v>34.283964198209908</c:v>
                </c:pt>
                <c:pt idx="38">
                  <c:v>34.541327066353318</c:v>
                </c:pt>
                <c:pt idx="39">
                  <c:v>34.853442672133603</c:v>
                </c:pt>
                <c:pt idx="40">
                  <c:v>34.933796689834494</c:v>
                </c:pt>
                <c:pt idx="41">
                  <c:v>35.131906595329767</c:v>
                </c:pt>
                <c:pt idx="42">
                  <c:v>35.226811340567025</c:v>
                </c:pt>
                <c:pt idx="43">
                  <c:v>35.612380619030951</c:v>
                </c:pt>
                <c:pt idx="44">
                  <c:v>35.645132256612833</c:v>
                </c:pt>
                <c:pt idx="45">
                  <c:v>35.921446072303617</c:v>
                </c:pt>
                <c:pt idx="46">
                  <c:v>36.229861493074651</c:v>
                </c:pt>
                <c:pt idx="47">
                  <c:v>36.336516825841294</c:v>
                </c:pt>
                <c:pt idx="48">
                  <c:v>36.445072253612679</c:v>
                </c:pt>
                <c:pt idx="49">
                  <c:v>36.844792239611984</c:v>
                </c:pt>
              </c:numCache>
            </c:numRef>
          </c:val>
          <c:smooth val="0"/>
          <c:extLst>
            <c:ext xmlns:c16="http://schemas.microsoft.com/office/drawing/2014/chart" uri="{C3380CC4-5D6E-409C-BE32-E72D297353CC}">
              <c16:uniqueId val="{00000002-73ED-4D14-8026-12D62211A733}"/>
            </c:ext>
          </c:extLst>
        </c:ser>
        <c:ser>
          <c:idx val="3"/>
          <c:order val="3"/>
          <c:tx>
            <c:v>10th percentile</c:v>
          </c:tx>
          <c:spPr>
            <a:ln w="15875">
              <a:solidFill>
                <a:srgbClr val="0E4F92"/>
              </a:solidFill>
              <a:prstDash val="dash"/>
            </a:ln>
          </c:spPr>
          <c:marker>
            <c:symbol val="none"/>
          </c:marker>
          <c:cat>
            <c:strRef>
              <c:f>Results!$B$165:$B$214</c:f>
              <c:strCache>
                <c:ptCount val="5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strCache>
            </c:strRef>
          </c:cat>
          <c:val>
            <c:numRef>
              <c:f>Results!$C$165:$C$214</c:f>
              <c:numCache>
                <c:formatCode>#,##0.00</c:formatCode>
                <c:ptCount val="50"/>
                <c:pt idx="0">
                  <c:v>9</c:v>
                </c:pt>
                <c:pt idx="1">
                  <c:v>10</c:v>
                </c:pt>
                <c:pt idx="2">
                  <c:v>10</c:v>
                </c:pt>
                <c:pt idx="3">
                  <c:v>10</c:v>
                </c:pt>
                <c:pt idx="4">
                  <c:v>10</c:v>
                </c:pt>
                <c:pt idx="5">
                  <c:v>10</c:v>
                </c:pt>
                <c:pt idx="6">
                  <c:v>10</c:v>
                </c:pt>
                <c:pt idx="7">
                  <c:v>10</c:v>
                </c:pt>
                <c:pt idx="8">
                  <c:v>10</c:v>
                </c:pt>
                <c:pt idx="9">
                  <c:v>10</c:v>
                </c:pt>
                <c:pt idx="10">
                  <c:v>10</c:v>
                </c:pt>
                <c:pt idx="11">
                  <c:v>10</c:v>
                </c:pt>
                <c:pt idx="12">
                  <c:v>10</c:v>
                </c:pt>
                <c:pt idx="13">
                  <c:v>10</c:v>
                </c:pt>
                <c:pt idx="14">
                  <c:v>11</c:v>
                </c:pt>
                <c:pt idx="15">
                  <c:v>11</c:v>
                </c:pt>
                <c:pt idx="16">
                  <c:v>11</c:v>
                </c:pt>
                <c:pt idx="17">
                  <c:v>11</c:v>
                </c:pt>
                <c:pt idx="18">
                  <c:v>11</c:v>
                </c:pt>
                <c:pt idx="19">
                  <c:v>11</c:v>
                </c:pt>
                <c:pt idx="20">
                  <c:v>11</c:v>
                </c:pt>
                <c:pt idx="21">
                  <c:v>11</c:v>
                </c:pt>
                <c:pt idx="22">
                  <c:v>11</c:v>
                </c:pt>
                <c:pt idx="23">
                  <c:v>11</c:v>
                </c:pt>
                <c:pt idx="24">
                  <c:v>11</c:v>
                </c:pt>
                <c:pt idx="25">
                  <c:v>11</c:v>
                </c:pt>
                <c:pt idx="26">
                  <c:v>11</c:v>
                </c:pt>
                <c:pt idx="27">
                  <c:v>12</c:v>
                </c:pt>
                <c:pt idx="28">
                  <c:v>12</c:v>
                </c:pt>
                <c:pt idx="29">
                  <c:v>12</c:v>
                </c:pt>
                <c:pt idx="30">
                  <c:v>12</c:v>
                </c:pt>
                <c:pt idx="31">
                  <c:v>12</c:v>
                </c:pt>
                <c:pt idx="32">
                  <c:v>12</c:v>
                </c:pt>
                <c:pt idx="33">
                  <c:v>12</c:v>
                </c:pt>
                <c:pt idx="34">
                  <c:v>12</c:v>
                </c:pt>
                <c:pt idx="35">
                  <c:v>12</c:v>
                </c:pt>
                <c:pt idx="36">
                  <c:v>12</c:v>
                </c:pt>
                <c:pt idx="37">
                  <c:v>12</c:v>
                </c:pt>
                <c:pt idx="38">
                  <c:v>12</c:v>
                </c:pt>
                <c:pt idx="39">
                  <c:v>13</c:v>
                </c:pt>
                <c:pt idx="40">
                  <c:v>13</c:v>
                </c:pt>
                <c:pt idx="41">
                  <c:v>13</c:v>
                </c:pt>
                <c:pt idx="42">
                  <c:v>13</c:v>
                </c:pt>
                <c:pt idx="43">
                  <c:v>13</c:v>
                </c:pt>
                <c:pt idx="44">
                  <c:v>13</c:v>
                </c:pt>
                <c:pt idx="45">
                  <c:v>13</c:v>
                </c:pt>
                <c:pt idx="46">
                  <c:v>13</c:v>
                </c:pt>
                <c:pt idx="47">
                  <c:v>13</c:v>
                </c:pt>
                <c:pt idx="48">
                  <c:v>13</c:v>
                </c:pt>
                <c:pt idx="49">
                  <c:v>13</c:v>
                </c:pt>
              </c:numCache>
            </c:numRef>
          </c:val>
          <c:smooth val="0"/>
          <c:extLst>
            <c:ext xmlns:c16="http://schemas.microsoft.com/office/drawing/2014/chart" uri="{C3380CC4-5D6E-409C-BE32-E72D297353CC}">
              <c16:uniqueId val="{00000003-73ED-4D14-8026-12D62211A73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5"/>
        <c:tickMarkSkip val="5"/>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Calls per week</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41</xdr:row>
      <xdr:rowOff>0</xdr:rowOff>
    </xdr:from>
    <xdr:ext cx="6263999" cy="252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68"/>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57" t="s">
        <v>20</v>
      </c>
      <c r="C16" s="5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ht="12" customHeight="1" x14ac:dyDescent="0.45"/>
    <row r="37" spans="2:3" ht="22.05" customHeight="1" x14ac:dyDescent="0.5">
      <c r="B37" s="7" t="s">
        <v>36</v>
      </c>
      <c r="C37" s="8"/>
    </row>
    <row r="38" spans="2:3" x14ac:dyDescent="0.45">
      <c r="B38" s="14" t="s">
        <v>37</v>
      </c>
      <c r="C38" s="10" t="s">
        <v>38</v>
      </c>
    </row>
    <row r="39" spans="2:3" x14ac:dyDescent="0.45">
      <c r="B39" s="14" t="s">
        <v>39</v>
      </c>
      <c r="C39" s="10" t="s">
        <v>40</v>
      </c>
    </row>
    <row r="40" spans="2:3" x14ac:dyDescent="0.45">
      <c r="B40" s="14" t="s">
        <v>41</v>
      </c>
      <c r="C40" s="10" t="s">
        <v>42</v>
      </c>
    </row>
    <row r="41" spans="2:3" ht="12" customHeight="1" x14ac:dyDescent="0.45"/>
    <row r="42" spans="2:3" ht="22.05" customHeight="1" x14ac:dyDescent="0.5">
      <c r="B42" s="7" t="s">
        <v>43</v>
      </c>
      <c r="C42" s="8"/>
    </row>
    <row r="43" spans="2:3" x14ac:dyDescent="0.45">
      <c r="B43" s="15" t="s">
        <v>44</v>
      </c>
      <c r="C43" s="12" t="s">
        <v>45</v>
      </c>
    </row>
    <row r="44" spans="2:3" x14ac:dyDescent="0.45">
      <c r="B44" s="16" t="s">
        <v>46</v>
      </c>
      <c r="C44" s="12" t="s">
        <v>47</v>
      </c>
    </row>
    <row r="45" spans="2:3" x14ac:dyDescent="0.45">
      <c r="B45" s="17" t="s">
        <v>48</v>
      </c>
      <c r="C45" s="12" t="s">
        <v>49</v>
      </c>
    </row>
    <row r="46" spans="2:3" x14ac:dyDescent="0.45">
      <c r="B46" s="18" t="s">
        <v>50</v>
      </c>
      <c r="C46" s="12" t="s">
        <v>51</v>
      </c>
    </row>
    <row r="47" spans="2:3" x14ac:dyDescent="0.45">
      <c r="B47" s="19" t="s">
        <v>52</v>
      </c>
      <c r="C47" s="12" t="s">
        <v>53</v>
      </c>
    </row>
    <row r="48" spans="2:3" ht="12" customHeight="1" x14ac:dyDescent="0.45"/>
    <row r="49" spans="2:3" ht="22.05" customHeight="1" x14ac:dyDescent="0.5">
      <c r="B49" s="7" t="s">
        <v>54</v>
      </c>
      <c r="C49" s="8"/>
    </row>
    <row r="50" spans="2:3" x14ac:dyDescent="0.45">
      <c r="B50" s="9" t="s">
        <v>55</v>
      </c>
      <c r="C50" s="10" t="s">
        <v>56</v>
      </c>
    </row>
    <row r="51" spans="2:3" x14ac:dyDescent="0.45">
      <c r="B51" s="9" t="s">
        <v>57</v>
      </c>
      <c r="C51" s="10" t="s">
        <v>58</v>
      </c>
    </row>
    <row r="52" spans="2:3" x14ac:dyDescent="0.45">
      <c r="B52" s="9" t="s">
        <v>59</v>
      </c>
      <c r="C52" s="10" t="s">
        <v>60</v>
      </c>
    </row>
    <row r="53" spans="2:3" ht="12" customHeight="1" x14ac:dyDescent="0.45"/>
    <row r="54" spans="2:3" ht="22.05" customHeight="1" x14ac:dyDescent="0.5">
      <c r="B54" s="7" t="s">
        <v>61</v>
      </c>
      <c r="C54" s="8"/>
    </row>
    <row r="55" spans="2:3" x14ac:dyDescent="0.45">
      <c r="B55" s="9" t="s">
        <v>62</v>
      </c>
      <c r="C55" s="10" t="s">
        <v>63</v>
      </c>
    </row>
    <row r="56" spans="2:3" x14ac:dyDescent="0.45">
      <c r="B56" s="9" t="s">
        <v>64</v>
      </c>
      <c r="C56" s="10" t="s">
        <v>65</v>
      </c>
    </row>
    <row r="57" spans="2:3" ht="26.25" x14ac:dyDescent="0.45">
      <c r="B57" s="9" t="s">
        <v>66</v>
      </c>
      <c r="C57" s="10" t="s">
        <v>67</v>
      </c>
    </row>
    <row r="58" spans="2:3" ht="12" customHeight="1" x14ac:dyDescent="0.45"/>
    <row r="59" spans="2:3" ht="22.05" customHeight="1" x14ac:dyDescent="0.5">
      <c r="B59" s="7" t="s">
        <v>68</v>
      </c>
      <c r="C59" s="8"/>
    </row>
    <row r="60" spans="2:3" x14ac:dyDescent="0.45">
      <c r="B60" s="20" t="s">
        <v>69</v>
      </c>
      <c r="C60" s="10" t="s">
        <v>70</v>
      </c>
    </row>
    <row r="61" spans="2:3" x14ac:dyDescent="0.45">
      <c r="B61" s="20" t="s">
        <v>71</v>
      </c>
      <c r="C61" s="10" t="s">
        <v>72</v>
      </c>
    </row>
    <row r="62" spans="2:3" x14ac:dyDescent="0.45">
      <c r="B62" s="20" t="s">
        <v>73</v>
      </c>
      <c r="C62" s="10" t="s">
        <v>74</v>
      </c>
    </row>
    <row r="63" spans="2:3" ht="26.25" x14ac:dyDescent="0.45">
      <c r="B63" s="20" t="s">
        <v>75</v>
      </c>
      <c r="C63" s="10" t="s">
        <v>76</v>
      </c>
    </row>
    <row r="64" spans="2:3" ht="12" customHeight="1" x14ac:dyDescent="0.45"/>
    <row r="65" spans="2:3" ht="22.05" customHeight="1" x14ac:dyDescent="0.5">
      <c r="B65" s="7" t="s">
        <v>77</v>
      </c>
      <c r="C65" s="8"/>
    </row>
    <row r="66" spans="2:3" x14ac:dyDescent="0.45">
      <c r="B66" s="9" t="s">
        <v>78</v>
      </c>
      <c r="C66" s="10" t="s">
        <v>79</v>
      </c>
    </row>
    <row r="67" spans="2:3" ht="16.05" customHeight="1" x14ac:dyDescent="0.45"/>
    <row r="68" spans="2:3" x14ac:dyDescent="0.45">
      <c r="B68" s="55" t="s">
        <v>80</v>
      </c>
      <c r="C68" s="56"/>
    </row>
  </sheetData>
  <mergeCells count="2">
    <mergeCell ref="B68:C68"/>
    <mergeCell ref="B16:C16"/>
  </mergeCells>
  <hyperlinks>
    <hyperlink ref="D4" location="'Inputs'!A1" display="Next:  Inputs  ▸" xr:uid="{00000000-0004-0000-0000-000000000000}"/>
    <hyperlink ref="B38" location="'Inputs'!A1" display="Inputs" xr:uid="{00000000-0004-0000-0000-000001000000}"/>
    <hyperlink ref="B39" location="'Weeks'!A1" display="Weeks" xr:uid="{00000000-0004-0000-0000-000002000000}"/>
    <hyperlink ref="B40"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81</v>
      </c>
      <c r="C3" s="1"/>
      <c r="D3" s="1"/>
      <c r="E3" s="1"/>
      <c r="F3" s="1"/>
      <c r="G3" s="1"/>
      <c r="H3" s="1"/>
      <c r="I3" s="1"/>
      <c r="J3" s="1"/>
    </row>
    <row r="4" spans="1:10" ht="20" customHeight="1" x14ac:dyDescent="0.45">
      <c r="A4" s="5"/>
      <c r="B4" s="22" t="s">
        <v>82</v>
      </c>
      <c r="C4" s="5"/>
      <c r="D4" s="5"/>
      <c r="E4" s="5"/>
      <c r="F4" s="5"/>
      <c r="G4" s="5"/>
      <c r="H4" s="5"/>
      <c r="I4" s="5"/>
      <c r="J4" s="6" t="s">
        <v>83</v>
      </c>
    </row>
    <row r="5" spans="1:10" ht="8" customHeight="1" x14ac:dyDescent="0.45"/>
    <row r="6" spans="1:10" ht="20" customHeight="1" x14ac:dyDescent="0.45">
      <c r="B6" s="58" t="s">
        <v>84</v>
      </c>
      <c r="C6" s="56"/>
      <c r="D6" s="56"/>
      <c r="E6" s="56"/>
      <c r="F6" s="56"/>
      <c r="G6" s="56"/>
      <c r="H6" s="56"/>
      <c r="I6" s="56"/>
      <c r="J6" s="56"/>
    </row>
    <row r="7" spans="1:10" ht="6" customHeight="1" x14ac:dyDescent="0.45"/>
    <row r="8" spans="1:10" ht="22.05" customHeight="1" x14ac:dyDescent="0.5">
      <c r="B8" s="7" t="s">
        <v>85</v>
      </c>
      <c r="C8" s="8"/>
      <c r="D8" s="8"/>
      <c r="E8" s="8"/>
      <c r="F8" s="8"/>
      <c r="G8" s="8"/>
      <c r="H8" s="8"/>
      <c r="I8" s="8"/>
      <c r="J8" s="8"/>
    </row>
    <row r="9" spans="1:10" ht="18" customHeight="1" x14ac:dyDescent="0.45">
      <c r="B9" s="13" t="s">
        <v>86</v>
      </c>
    </row>
    <row r="10" spans="1:10" ht="18" customHeight="1" x14ac:dyDescent="0.45">
      <c r="B10" s="23" t="s">
        <v>87</v>
      </c>
      <c r="C10" s="23" t="s">
        <v>88</v>
      </c>
      <c r="D10" s="24" t="s">
        <v>89</v>
      </c>
      <c r="E10" s="23" t="s">
        <v>90</v>
      </c>
      <c r="F10" s="5"/>
      <c r="G10" s="5"/>
      <c r="H10" s="5"/>
      <c r="I10" s="5"/>
      <c r="J10" s="23" t="s">
        <v>91</v>
      </c>
    </row>
    <row r="11" spans="1:10" x14ac:dyDescent="0.45">
      <c r="B11" s="25" t="s">
        <v>92</v>
      </c>
      <c r="C11" s="26" t="s">
        <v>93</v>
      </c>
      <c r="D11" s="27">
        <v>27</v>
      </c>
      <c r="E11" s="26" t="s">
        <v>94</v>
      </c>
      <c r="F11" s="28"/>
      <c r="G11" s="28"/>
      <c r="H11" s="28"/>
      <c r="I11" s="28"/>
      <c r="J11" s="29"/>
    </row>
    <row r="12" spans="1:10" x14ac:dyDescent="0.45">
      <c r="B12" s="25" t="s">
        <v>95</v>
      </c>
      <c r="C12" s="26" t="s">
        <v>93</v>
      </c>
      <c r="D12" s="30">
        <v>0.2</v>
      </c>
      <c r="E12" s="26" t="s">
        <v>94</v>
      </c>
      <c r="F12" s="28"/>
      <c r="G12" s="28"/>
      <c r="H12" s="28"/>
      <c r="I12" s="28"/>
      <c r="J12" s="29" t="s">
        <v>96</v>
      </c>
    </row>
    <row r="13" spans="1:10" ht="8" customHeight="1" x14ac:dyDescent="0.45"/>
    <row r="14" spans="1:10" ht="22.05" customHeight="1" x14ac:dyDescent="0.5">
      <c r="B14" s="7" t="s">
        <v>97</v>
      </c>
      <c r="C14" s="8"/>
      <c r="D14" s="8"/>
      <c r="E14" s="8"/>
      <c r="F14" s="8"/>
      <c r="G14" s="8"/>
      <c r="H14" s="8"/>
      <c r="I14" s="8"/>
      <c r="J14" s="8"/>
    </row>
    <row r="15" spans="1:10" ht="18" customHeight="1" x14ac:dyDescent="0.45">
      <c r="B15" s="13" t="s">
        <v>98</v>
      </c>
    </row>
    <row r="16" spans="1:10" ht="18" customHeight="1" x14ac:dyDescent="0.45">
      <c r="B16" s="23" t="s">
        <v>87</v>
      </c>
      <c r="C16" s="23" t="s">
        <v>88</v>
      </c>
      <c r="D16" s="24" t="s">
        <v>89</v>
      </c>
      <c r="E16" s="23" t="s">
        <v>90</v>
      </c>
      <c r="F16" s="5"/>
      <c r="G16" s="5"/>
      <c r="H16" s="5"/>
      <c r="I16" s="5"/>
      <c r="J16" s="23" t="s">
        <v>91</v>
      </c>
    </row>
    <row r="17" spans="2:10" x14ac:dyDescent="0.45">
      <c r="B17" s="25" t="s">
        <v>57</v>
      </c>
      <c r="C17" s="26"/>
      <c r="D17" s="30">
        <v>0.3</v>
      </c>
      <c r="E17" s="26" t="s">
        <v>94</v>
      </c>
      <c r="F17" s="28"/>
      <c r="G17" s="28"/>
      <c r="H17" s="28"/>
      <c r="I17" s="28"/>
      <c r="J17" s="29" t="s">
        <v>99</v>
      </c>
    </row>
    <row r="18" spans="2:10" ht="8" customHeight="1" x14ac:dyDescent="0.45"/>
  </sheetData>
  <mergeCells count="1">
    <mergeCell ref="B6:J6"/>
  </mergeCells>
  <dataValidations count="1">
    <dataValidation type="decimal" showErrorMessage="1" errorTitle="Value" error="Enter a value of zero or more." sqref="D11 D17" xr:uid="{00000000-0002-0000-0100-000000000000}">
      <formula1>0</formula1>
      <formula2>1000000000000</formula2>
    </dataValidation>
  </dataValidations>
  <hyperlinks>
    <hyperlink ref="B4" location="'About'!A1" display="◂  About" xr:uid="{00000000-0004-0000-0100-000000000000}"/>
    <hyperlink ref="J4" location="'Weeks'!A1" display="Next:  Week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H81"/>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4" width="13" customWidth="1"/>
    <col min="5" max="6" width="15" customWidth="1"/>
    <col min="7" max="7" width="2" customWidth="1"/>
    <col min="8" max="8" width="70" customWidth="1"/>
  </cols>
  <sheetData>
    <row r="1" spans="1:8" ht="6" customHeight="1" x14ac:dyDescent="0.45"/>
    <row r="2" spans="1:8" ht="30" customHeight="1" x14ac:dyDescent="0.45">
      <c r="A2" s="1"/>
      <c r="B2" s="21" t="s">
        <v>0</v>
      </c>
      <c r="C2" s="1"/>
      <c r="D2" s="1"/>
      <c r="E2" s="1"/>
      <c r="F2" s="1"/>
      <c r="G2" s="1"/>
      <c r="H2" s="3" t="s">
        <v>1</v>
      </c>
    </row>
    <row r="3" spans="1:8" ht="20" customHeight="1" x14ac:dyDescent="0.45">
      <c r="A3" s="1"/>
      <c r="B3" s="4" t="s">
        <v>100</v>
      </c>
      <c r="C3" s="1"/>
      <c r="D3" s="1"/>
      <c r="E3" s="1"/>
      <c r="F3" s="1"/>
      <c r="G3" s="1"/>
      <c r="H3" s="1"/>
    </row>
    <row r="4" spans="1:8" ht="20" customHeight="1" x14ac:dyDescent="0.45">
      <c r="A4" s="5"/>
      <c r="B4" s="22" t="s">
        <v>101</v>
      </c>
      <c r="C4" s="5"/>
      <c r="D4" s="5"/>
      <c r="E4" s="5"/>
      <c r="F4" s="5"/>
      <c r="G4" s="5"/>
      <c r="H4" s="6" t="s">
        <v>102</v>
      </c>
    </row>
    <row r="5" spans="1:8" ht="8" customHeight="1" x14ac:dyDescent="0.45"/>
    <row r="6" spans="1:8" ht="22.05" customHeight="1" x14ac:dyDescent="0.5">
      <c r="B6" s="7" t="s">
        <v>103</v>
      </c>
      <c r="C6" s="8"/>
      <c r="D6" s="8"/>
      <c r="E6" s="8"/>
      <c r="F6" s="8"/>
      <c r="G6" s="8"/>
      <c r="H6" s="8"/>
    </row>
    <row r="7" spans="1:8" ht="18" customHeight="1" x14ac:dyDescent="0.45">
      <c r="B7" s="13" t="s">
        <v>104</v>
      </c>
    </row>
    <row r="8" spans="1:8" x14ac:dyDescent="0.45">
      <c r="B8" s="25" t="s">
        <v>105</v>
      </c>
      <c r="C8" s="28"/>
      <c r="D8" s="28"/>
      <c r="E8" s="31" cm="1">
        <f t="array" aca="1" ref="E8" ca="1">_xll.VoseInput("Level of the year","×")+_xll.VoseGamma(1/PolyaH,PolyaH)</f>
        <v>0.30836014585163779</v>
      </c>
      <c r="F8" s="28"/>
      <c r="G8" s="28"/>
      <c r="H8" s="26" t="s">
        <v>106</v>
      </c>
    </row>
    <row r="9" spans="1:8" ht="8" customHeight="1" x14ac:dyDescent="0.45"/>
    <row r="10" spans="1:8" ht="22.05" customHeight="1" x14ac:dyDescent="0.5">
      <c r="B10" s="7" t="s">
        <v>107</v>
      </c>
      <c r="C10" s="8"/>
      <c r="D10" s="8"/>
      <c r="E10" s="8"/>
      <c r="F10" s="8"/>
      <c r="G10" s="8"/>
      <c r="H10" s="8"/>
    </row>
    <row r="11" spans="1:8" ht="18" customHeight="1" x14ac:dyDescent="0.45">
      <c r="B11" s="13" t="s">
        <v>108</v>
      </c>
    </row>
    <row r="12" spans="1:8" ht="32" customHeight="1" x14ac:dyDescent="0.45">
      <c r="B12" s="32" t="s">
        <v>109</v>
      </c>
      <c r="C12" s="33" t="s">
        <v>110</v>
      </c>
      <c r="D12" s="33" t="s">
        <v>111</v>
      </c>
      <c r="E12" s="33" t="s">
        <v>112</v>
      </c>
      <c r="F12" s="33" t="s">
        <v>113</v>
      </c>
      <c r="G12" s="34"/>
      <c r="H12" s="32" t="s">
        <v>114</v>
      </c>
    </row>
    <row r="13" spans="1:8" x14ac:dyDescent="0.45">
      <c r="B13" s="35"/>
      <c r="C13" s="35" t="s">
        <v>93</v>
      </c>
      <c r="D13" s="35" t="s">
        <v>93</v>
      </c>
      <c r="E13" s="35" t="s">
        <v>93</v>
      </c>
      <c r="F13" s="35" t="s">
        <v>93</v>
      </c>
      <c r="G13" s="35"/>
      <c r="H13" s="35"/>
    </row>
    <row r="14" spans="1:8" x14ac:dyDescent="0.45">
      <c r="B14" s="36">
        <v>1</v>
      </c>
      <c r="C14" s="37">
        <f t="shared" ref="C14:C45" si="0">Intercept+Gradient*B14</f>
        <v>27.2</v>
      </c>
      <c r="D14" s="38" cm="1">
        <f t="array" aca="1" ref="D14" ca="1">_xll.VoseOutput("Week 1","calls","Poisson",1)+_xll.VosePoisson(C14)</f>
        <v>27</v>
      </c>
      <c r="E14" s="38" cm="1">
        <f t="array" aca="1" ref="E14" ca="1">_xll.VoseOutput("Week 1","calls","Pólya: own variation each week",1)+_xll.VosePoisson(_xll.VoseGamma(1/PolyaH,C14*PolyaH))</f>
        <v>41</v>
      </c>
      <c r="F14" s="38" cm="1">
        <f t="array" aca="1" ref="F14" ca="1">_xll.VoseOutput("Week 1","calls","Pólya: one level for the year",1)+_xll.VosePoisson(C14*Level)</f>
        <v>7</v>
      </c>
      <c r="G14" s="28"/>
      <c r="H14" s="26" t="s">
        <v>115</v>
      </c>
    </row>
    <row r="15" spans="1:8" x14ac:dyDescent="0.45">
      <c r="B15" s="36">
        <v>2</v>
      </c>
      <c r="C15" s="37">
        <f t="shared" si="0"/>
        <v>27.4</v>
      </c>
      <c r="D15" s="38" cm="1">
        <f t="array" aca="1" ref="D15" ca="1">_xll.VoseOutput("Week 2","calls","Poisson",2)+_xll.VosePoisson(C15)</f>
        <v>22</v>
      </c>
      <c r="E15" s="38" cm="1">
        <f t="array" aca="1" ref="E15" ca="1">_xll.VoseOutput("Week 2","calls","Pólya: own variation each week",2)+_xll.VosePoisson(_xll.VoseGamma(1/PolyaH,C15*PolyaH))</f>
        <v>18</v>
      </c>
      <c r="F15" s="38" cm="1">
        <f t="array" aca="1" ref="F15" ca="1">_xll.VoseOutput("Week 2","calls","Pólya: one level for the year",2)+_xll.VosePoisson(C15*Level)</f>
        <v>6</v>
      </c>
      <c r="G15" s="28"/>
      <c r="H15" s="26" t="s">
        <v>116</v>
      </c>
    </row>
    <row r="16" spans="1:8" x14ac:dyDescent="0.45">
      <c r="B16" s="36">
        <v>3</v>
      </c>
      <c r="C16" s="37">
        <f t="shared" si="0"/>
        <v>27.6</v>
      </c>
      <c r="D16" s="38" cm="1">
        <f t="array" aca="1" ref="D16" ca="1">_xll.VoseOutput("Week 3","calls","Poisson",3)+_xll.VosePoisson(C16)</f>
        <v>27</v>
      </c>
      <c r="E16" s="38" cm="1">
        <f t="array" aca="1" ref="E16" ca="1">_xll.VoseOutput("Week 3","calls","Pólya: own variation each week",3)+_xll.VosePoisson(_xll.VoseGamma(1/PolyaH,C16*PolyaH))</f>
        <v>25</v>
      </c>
      <c r="F16" s="38" cm="1">
        <f t="array" aca="1" ref="F16" ca="1">_xll.VoseOutput("Week 3","calls","Pólya: one level for the year",3)+_xll.VosePoisson(C16*Level)</f>
        <v>8</v>
      </c>
      <c r="G16" s="28"/>
      <c r="H16" s="26" t="s">
        <v>117</v>
      </c>
    </row>
    <row r="17" spans="2:8" x14ac:dyDescent="0.45">
      <c r="B17" s="36">
        <v>4</v>
      </c>
      <c r="C17" s="37">
        <f t="shared" si="0"/>
        <v>27.8</v>
      </c>
      <c r="D17" s="38" cm="1">
        <f t="array" aca="1" ref="D17" ca="1">_xll.VoseOutput("Week 4","calls","Poisson",4)+_xll.VosePoisson(C17)</f>
        <v>34</v>
      </c>
      <c r="E17" s="38" cm="1">
        <f t="array" aca="1" ref="E17" ca="1">_xll.VoseOutput("Week 4","calls","Pólya: own variation each week",4)+_xll.VosePoisson(_xll.VoseGamma(1/PolyaH,C17*PolyaH))</f>
        <v>6</v>
      </c>
      <c r="F17" s="38" cm="1">
        <f t="array" aca="1" ref="F17" ca="1">_xll.VoseOutput("Week 4","calls","Pólya: one level for the year",4)+_xll.VosePoisson(C17*Level)</f>
        <v>13</v>
      </c>
      <c r="G17" s="28"/>
      <c r="H17" s="26" t="s">
        <v>118</v>
      </c>
    </row>
    <row r="18" spans="2:8" x14ac:dyDescent="0.45">
      <c r="B18" s="36">
        <v>5</v>
      </c>
      <c r="C18" s="37">
        <f t="shared" si="0"/>
        <v>28</v>
      </c>
      <c r="D18" s="38" cm="1">
        <f t="array" aca="1" ref="D18" ca="1">_xll.VoseOutput("Week 5","calls","Poisson",5)+_xll.VosePoisson(C18)</f>
        <v>26</v>
      </c>
      <c r="E18" s="38" cm="1">
        <f t="array" aca="1" ref="E18" ca="1">_xll.VoseOutput("Week 5","calls","Pólya: own variation each week",5)+_xll.VosePoisson(_xll.VoseGamma(1/PolyaH,C18*PolyaH))</f>
        <v>18</v>
      </c>
      <c r="F18" s="38" cm="1">
        <f t="array" aca="1" ref="F18" ca="1">_xll.VoseOutput("Week 5","calls","Pólya: one level for the year",5)+_xll.VosePoisson(C18*Level)</f>
        <v>7</v>
      </c>
      <c r="G18" s="28"/>
      <c r="H18" s="26" t="s">
        <v>119</v>
      </c>
    </row>
    <row r="19" spans="2:8" x14ac:dyDescent="0.45">
      <c r="B19" s="36">
        <v>6</v>
      </c>
      <c r="C19" s="37">
        <f t="shared" si="0"/>
        <v>28.2</v>
      </c>
      <c r="D19" s="38" cm="1">
        <f t="array" aca="1" ref="D19" ca="1">_xll.VoseOutput("Week 6","calls","Poisson",6)+_xll.VosePoisson(C19)</f>
        <v>26</v>
      </c>
      <c r="E19" s="38" cm="1">
        <f t="array" aca="1" ref="E19" ca="1">_xll.VoseOutput("Week 6","calls","Pólya: own variation each week",6)+_xll.VosePoisson(_xll.VoseGamma(1/PolyaH,C19*PolyaH))</f>
        <v>11</v>
      </c>
      <c r="F19" s="38" cm="1">
        <f t="array" aca="1" ref="F19" ca="1">_xll.VoseOutput("Week 6","calls","Pólya: one level for the year",6)+_xll.VosePoisson(C19*Level)</f>
        <v>5</v>
      </c>
      <c r="G19" s="28"/>
      <c r="H19" s="28"/>
    </row>
    <row r="20" spans="2:8" x14ac:dyDescent="0.45">
      <c r="B20" s="36">
        <v>7</v>
      </c>
      <c r="C20" s="37">
        <f t="shared" si="0"/>
        <v>28.4</v>
      </c>
      <c r="D20" s="38" cm="1">
        <f t="array" aca="1" ref="D20" ca="1">_xll.VoseOutput("Week 7","calls","Poisson",7)+_xll.VosePoisson(C20)</f>
        <v>27</v>
      </c>
      <c r="E20" s="38" cm="1">
        <f t="array" aca="1" ref="E20" ca="1">_xll.VoseOutput("Week 7","calls","Pólya: own variation each week",7)+_xll.VosePoisson(_xll.VoseGamma(1/PolyaH,C20*PolyaH))</f>
        <v>64</v>
      </c>
      <c r="F20" s="38" cm="1">
        <f t="array" aca="1" ref="F20" ca="1">_xll.VoseOutput("Week 7","calls","Pólya: one level for the year",7)+_xll.VosePoisson(C20*Level)</f>
        <v>8</v>
      </c>
      <c r="G20" s="28"/>
      <c r="H20" s="28"/>
    </row>
    <row r="21" spans="2:8" x14ac:dyDescent="0.45">
      <c r="B21" s="36">
        <v>8</v>
      </c>
      <c r="C21" s="37">
        <f t="shared" si="0"/>
        <v>28.6</v>
      </c>
      <c r="D21" s="38" cm="1">
        <f t="array" aca="1" ref="D21" ca="1">_xll.VoseOutput("Week 8","calls","Poisson",8)+_xll.VosePoisson(C21)</f>
        <v>32</v>
      </c>
      <c r="E21" s="38" cm="1">
        <f t="array" aca="1" ref="E21" ca="1">_xll.VoseOutput("Week 8","calls","Pólya: own variation each week",8)+_xll.VosePoisson(_xll.VoseGamma(1/PolyaH,C21*PolyaH))</f>
        <v>4</v>
      </c>
      <c r="F21" s="38" cm="1">
        <f t="array" aca="1" ref="F21" ca="1">_xll.VoseOutput("Week 8","calls","Pólya: one level for the year",8)+_xll.VosePoisson(C21*Level)</f>
        <v>5</v>
      </c>
      <c r="G21" s="28"/>
      <c r="H21" s="28"/>
    </row>
    <row r="22" spans="2:8" x14ac:dyDescent="0.45">
      <c r="B22" s="36">
        <v>9</v>
      </c>
      <c r="C22" s="37">
        <f t="shared" si="0"/>
        <v>28.8</v>
      </c>
      <c r="D22" s="38" cm="1">
        <f t="array" aca="1" ref="D22" ca="1">_xll.VoseOutput("Week 9","calls","Poisson",9)+_xll.VosePoisson(C22)</f>
        <v>30</v>
      </c>
      <c r="E22" s="38" cm="1">
        <f t="array" aca="1" ref="E22" ca="1">_xll.VoseOutput("Week 9","calls","Pólya: own variation each week",9)+_xll.VosePoisson(_xll.VoseGamma(1/PolyaH,C22*PolyaH))</f>
        <v>22</v>
      </c>
      <c r="F22" s="38" cm="1">
        <f t="array" aca="1" ref="F22" ca="1">_xll.VoseOutput("Week 9","calls","Pólya: one level for the year",9)+_xll.VosePoisson(C22*Level)</f>
        <v>9</v>
      </c>
      <c r="G22" s="28"/>
      <c r="H22" s="28"/>
    </row>
    <row r="23" spans="2:8" x14ac:dyDescent="0.45">
      <c r="B23" s="36">
        <v>10</v>
      </c>
      <c r="C23" s="37">
        <f t="shared" si="0"/>
        <v>29</v>
      </c>
      <c r="D23" s="38" cm="1">
        <f t="array" aca="1" ref="D23" ca="1">_xll.VoseOutput("Week 10","calls","Poisson",10)+_xll.VosePoisson(C23)</f>
        <v>31</v>
      </c>
      <c r="E23" s="38" cm="1">
        <f t="array" aca="1" ref="E23" ca="1">_xll.VoseOutput("Week 10","calls","Pólya: own variation each week",10)+_xll.VosePoisson(_xll.VoseGamma(1/PolyaH,C23*PolyaH))</f>
        <v>62</v>
      </c>
      <c r="F23" s="38" cm="1">
        <f t="array" aca="1" ref="F23" ca="1">_xll.VoseOutput("Week 10","calls","Pólya: one level for the year",10)+_xll.VosePoisson(C23*Level)</f>
        <v>11</v>
      </c>
      <c r="G23" s="28"/>
      <c r="H23" s="28"/>
    </row>
    <row r="24" spans="2:8" x14ac:dyDescent="0.45">
      <c r="B24" s="36">
        <v>11</v>
      </c>
      <c r="C24" s="37">
        <f t="shared" si="0"/>
        <v>29.2</v>
      </c>
      <c r="D24" s="38" cm="1">
        <f t="array" aca="1" ref="D24" ca="1">_xll.VoseOutput("Week 11","calls","Poisson",11)+_xll.VosePoisson(C24)</f>
        <v>28</v>
      </c>
      <c r="E24" s="38" cm="1">
        <f t="array" aca="1" ref="E24" ca="1">_xll.VoseOutput("Week 11","calls","Pólya: own variation each week",11)+_xll.VosePoisson(_xll.VoseGamma(1/PolyaH,C24*PolyaH))</f>
        <v>58</v>
      </c>
      <c r="F24" s="38" cm="1">
        <f t="array" aca="1" ref="F24" ca="1">_xll.VoseOutput("Week 11","calls","Pólya: one level for the year",11)+_xll.VosePoisson(C24*Level)</f>
        <v>15</v>
      </c>
      <c r="G24" s="28"/>
      <c r="H24" s="28"/>
    </row>
    <row r="25" spans="2:8" x14ac:dyDescent="0.45">
      <c r="B25" s="36">
        <v>12</v>
      </c>
      <c r="C25" s="37">
        <f t="shared" si="0"/>
        <v>29.4</v>
      </c>
      <c r="D25" s="38" cm="1">
        <f t="array" aca="1" ref="D25" ca="1">_xll.VoseOutput("Week 12","calls","Poisson",12)+_xll.VosePoisson(C25)</f>
        <v>24</v>
      </c>
      <c r="E25" s="38" cm="1">
        <f t="array" aca="1" ref="E25" ca="1">_xll.VoseOutput("Week 12","calls","Pólya: own variation each week",12)+_xll.VosePoisson(_xll.VoseGamma(1/PolyaH,C25*PolyaH))</f>
        <v>14</v>
      </c>
      <c r="F25" s="38" cm="1">
        <f t="array" aca="1" ref="F25" ca="1">_xll.VoseOutput("Week 12","calls","Pólya: one level for the year",12)+_xll.VosePoisson(C25*Level)</f>
        <v>9</v>
      </c>
      <c r="G25" s="28"/>
      <c r="H25" s="28"/>
    </row>
    <row r="26" spans="2:8" x14ac:dyDescent="0.45">
      <c r="B26" s="36">
        <v>13</v>
      </c>
      <c r="C26" s="37">
        <f t="shared" si="0"/>
        <v>29.6</v>
      </c>
      <c r="D26" s="38" cm="1">
        <f t="array" aca="1" ref="D26" ca="1">_xll.VoseOutput("Week 13","calls","Poisson",13)+_xll.VosePoisson(C26)</f>
        <v>27</v>
      </c>
      <c r="E26" s="38" cm="1">
        <f t="array" aca="1" ref="E26" ca="1">_xll.VoseOutput("Week 13","calls","Pólya: own variation each week",13)+_xll.VosePoisson(_xll.VoseGamma(1/PolyaH,C26*PolyaH))</f>
        <v>15</v>
      </c>
      <c r="F26" s="38" cm="1">
        <f t="array" aca="1" ref="F26" ca="1">_xll.VoseOutput("Week 13","calls","Pólya: one level for the year",13)+_xll.VosePoisson(C26*Level)</f>
        <v>10</v>
      </c>
      <c r="G26" s="28"/>
      <c r="H26" s="28"/>
    </row>
    <row r="27" spans="2:8" x14ac:dyDescent="0.45">
      <c r="B27" s="36">
        <v>14</v>
      </c>
      <c r="C27" s="37">
        <f t="shared" si="0"/>
        <v>29.8</v>
      </c>
      <c r="D27" s="38" cm="1">
        <f t="array" aca="1" ref="D27" ca="1">_xll.VoseOutput("Week 14","calls","Poisson",14)+_xll.VosePoisson(C27)</f>
        <v>41</v>
      </c>
      <c r="E27" s="38" cm="1">
        <f t="array" aca="1" ref="E27" ca="1">_xll.VoseOutput("Week 14","calls","Pólya: own variation each week",14)+_xll.VosePoisson(_xll.VoseGamma(1/PolyaH,C27*PolyaH))</f>
        <v>15</v>
      </c>
      <c r="F27" s="38" cm="1">
        <f t="array" aca="1" ref="F27" ca="1">_xll.VoseOutput("Week 14","calls","Pólya: one level for the year",14)+_xll.VosePoisson(C27*Level)</f>
        <v>14</v>
      </c>
      <c r="G27" s="28"/>
      <c r="H27" s="28"/>
    </row>
    <row r="28" spans="2:8" x14ac:dyDescent="0.45">
      <c r="B28" s="36">
        <v>15</v>
      </c>
      <c r="C28" s="37">
        <f t="shared" si="0"/>
        <v>30</v>
      </c>
      <c r="D28" s="38" cm="1">
        <f t="array" aca="1" ref="D28" ca="1">_xll.VoseOutput("Week 15","calls","Poisson",15)+_xll.VosePoisson(C28)</f>
        <v>30</v>
      </c>
      <c r="E28" s="38" cm="1">
        <f t="array" aca="1" ref="E28" ca="1">_xll.VoseOutput("Week 15","calls","Pólya: own variation each week",15)+_xll.VosePoisson(_xll.VoseGamma(1/PolyaH,C28*PolyaH))</f>
        <v>26</v>
      </c>
      <c r="F28" s="38" cm="1">
        <f t="array" aca="1" ref="F28" ca="1">_xll.VoseOutput("Week 15","calls","Pólya: one level for the year",15)+_xll.VosePoisson(C28*Level)</f>
        <v>6</v>
      </c>
      <c r="G28" s="28"/>
      <c r="H28" s="28"/>
    </row>
    <row r="29" spans="2:8" x14ac:dyDescent="0.45">
      <c r="B29" s="36">
        <v>16</v>
      </c>
      <c r="C29" s="37">
        <f t="shared" si="0"/>
        <v>30.2</v>
      </c>
      <c r="D29" s="38" cm="1">
        <f t="array" aca="1" ref="D29" ca="1">_xll.VoseOutput("Week 16","calls","Poisson",16)+_xll.VosePoisson(C29)</f>
        <v>33</v>
      </c>
      <c r="E29" s="38" cm="1">
        <f t="array" aca="1" ref="E29" ca="1">_xll.VoseOutput("Week 16","calls","Pólya: own variation each week",16)+_xll.VosePoisson(_xll.VoseGamma(1/PolyaH,C29*PolyaH))</f>
        <v>32</v>
      </c>
      <c r="F29" s="38" cm="1">
        <f t="array" aca="1" ref="F29" ca="1">_xll.VoseOutput("Week 16","calls","Pólya: one level for the year",16)+_xll.VosePoisson(C29*Level)</f>
        <v>9</v>
      </c>
      <c r="G29" s="28"/>
      <c r="H29" s="28"/>
    </row>
    <row r="30" spans="2:8" x14ac:dyDescent="0.45">
      <c r="B30" s="36">
        <v>17</v>
      </c>
      <c r="C30" s="37">
        <f t="shared" si="0"/>
        <v>30.4</v>
      </c>
      <c r="D30" s="38" cm="1">
        <f t="array" aca="1" ref="D30" ca="1">_xll.VoseOutput("Week 17","calls","Poisson",17)+_xll.VosePoisson(C30)</f>
        <v>29</v>
      </c>
      <c r="E30" s="38" cm="1">
        <f t="array" aca="1" ref="E30" ca="1">_xll.VoseOutput("Week 17","calls","Pólya: own variation each week",17)+_xll.VosePoisson(_xll.VoseGamma(1/PolyaH,C30*PolyaH))</f>
        <v>29</v>
      </c>
      <c r="F30" s="38" cm="1">
        <f t="array" aca="1" ref="F30" ca="1">_xll.VoseOutput("Week 17","calls","Pólya: one level for the year",17)+_xll.VosePoisson(C30*Level)</f>
        <v>9</v>
      </c>
      <c r="G30" s="28"/>
      <c r="H30" s="28"/>
    </row>
    <row r="31" spans="2:8" x14ac:dyDescent="0.45">
      <c r="B31" s="36">
        <v>18</v>
      </c>
      <c r="C31" s="37">
        <f t="shared" si="0"/>
        <v>30.6</v>
      </c>
      <c r="D31" s="38" cm="1">
        <f t="array" aca="1" ref="D31" ca="1">_xll.VoseOutput("Week 18","calls","Poisson",18)+_xll.VosePoisson(C31)</f>
        <v>35</v>
      </c>
      <c r="E31" s="38" cm="1">
        <f t="array" aca="1" ref="E31" ca="1">_xll.VoseOutput("Week 18","calls","Pólya: own variation each week",18)+_xll.VosePoisson(_xll.VoseGamma(1/PolyaH,C31*PolyaH))</f>
        <v>6</v>
      </c>
      <c r="F31" s="38" cm="1">
        <f t="array" aca="1" ref="F31" ca="1">_xll.VoseOutput("Week 18","calls","Pólya: one level for the year",18)+_xll.VosePoisson(C31*Level)</f>
        <v>12</v>
      </c>
      <c r="G31" s="28"/>
      <c r="H31" s="28"/>
    </row>
    <row r="32" spans="2:8" x14ac:dyDescent="0.45">
      <c r="B32" s="36">
        <v>19</v>
      </c>
      <c r="C32" s="37">
        <f t="shared" si="0"/>
        <v>30.8</v>
      </c>
      <c r="D32" s="38" cm="1">
        <f t="array" aca="1" ref="D32" ca="1">_xll.VoseOutput("Week 19","calls","Poisson",19)+_xll.VosePoisson(C32)</f>
        <v>26</v>
      </c>
      <c r="E32" s="38" cm="1">
        <f t="array" aca="1" ref="E32" ca="1">_xll.VoseOutput("Week 19","calls","Pólya: own variation each week",19)+_xll.VosePoisson(_xll.VoseGamma(1/PolyaH,C32*PolyaH))</f>
        <v>12</v>
      </c>
      <c r="F32" s="38" cm="1">
        <f t="array" aca="1" ref="F32" ca="1">_xll.VoseOutput("Week 19","calls","Pólya: one level for the year",19)+_xll.VosePoisson(C32*Level)</f>
        <v>11</v>
      </c>
      <c r="G32" s="28"/>
      <c r="H32" s="28"/>
    </row>
    <row r="33" spans="2:8" x14ac:dyDescent="0.45">
      <c r="B33" s="36">
        <v>20</v>
      </c>
      <c r="C33" s="37">
        <f t="shared" si="0"/>
        <v>31</v>
      </c>
      <c r="D33" s="38" cm="1">
        <f t="array" aca="1" ref="D33" ca="1">_xll.VoseOutput("Week 20","calls","Poisson",20)+_xll.VosePoisson(C33)</f>
        <v>40</v>
      </c>
      <c r="E33" s="38" cm="1">
        <f t="array" aca="1" ref="E33" ca="1">_xll.VoseOutput("Week 20","calls","Pólya: own variation each week",20)+_xll.VosePoisson(_xll.VoseGamma(1/PolyaH,C33*PolyaH))</f>
        <v>64</v>
      </c>
      <c r="F33" s="38" cm="1">
        <f t="array" aca="1" ref="F33" ca="1">_xll.VoseOutput("Week 20","calls","Pólya: one level for the year",20)+_xll.VosePoisson(C33*Level)</f>
        <v>11</v>
      </c>
      <c r="G33" s="28"/>
      <c r="H33" s="28"/>
    </row>
    <row r="34" spans="2:8" x14ac:dyDescent="0.45">
      <c r="B34" s="36">
        <v>21</v>
      </c>
      <c r="C34" s="37">
        <f t="shared" si="0"/>
        <v>31.2</v>
      </c>
      <c r="D34" s="38" cm="1">
        <f t="array" aca="1" ref="D34" ca="1">_xll.VoseOutput("Week 21","calls","Poisson",21)+_xll.VosePoisson(C34)</f>
        <v>28</v>
      </c>
      <c r="E34" s="38" cm="1">
        <f t="array" aca="1" ref="E34" ca="1">_xll.VoseOutput("Week 21","calls","Pólya: own variation each week",21)+_xll.VosePoisson(_xll.VoseGamma(1/PolyaH,C34*PolyaH))</f>
        <v>20</v>
      </c>
      <c r="F34" s="38" cm="1">
        <f t="array" aca="1" ref="F34" ca="1">_xll.VoseOutput("Week 21","calls","Pólya: one level for the year",21)+_xll.VosePoisson(C34*Level)</f>
        <v>15</v>
      </c>
      <c r="G34" s="28"/>
      <c r="H34" s="28"/>
    </row>
    <row r="35" spans="2:8" x14ac:dyDescent="0.45">
      <c r="B35" s="36">
        <v>22</v>
      </c>
      <c r="C35" s="37">
        <f t="shared" si="0"/>
        <v>31.4</v>
      </c>
      <c r="D35" s="38" cm="1">
        <f t="array" aca="1" ref="D35" ca="1">_xll.VoseOutput("Week 22","calls","Poisson",22)+_xll.VosePoisson(C35)</f>
        <v>30</v>
      </c>
      <c r="E35" s="38" cm="1">
        <f t="array" aca="1" ref="E35" ca="1">_xll.VoseOutput("Week 22","calls","Pólya: own variation each week",22)+_xll.VosePoisson(_xll.VoseGamma(1/PolyaH,C35*PolyaH))</f>
        <v>4</v>
      </c>
      <c r="F35" s="38" cm="1">
        <f t="array" aca="1" ref="F35" ca="1">_xll.VoseOutput("Week 22","calls","Pólya: one level for the year",22)+_xll.VosePoisson(C35*Level)</f>
        <v>10</v>
      </c>
      <c r="G35" s="28"/>
      <c r="H35" s="28"/>
    </row>
    <row r="36" spans="2:8" x14ac:dyDescent="0.45">
      <c r="B36" s="36">
        <v>23</v>
      </c>
      <c r="C36" s="37">
        <f t="shared" si="0"/>
        <v>31.6</v>
      </c>
      <c r="D36" s="38" cm="1">
        <f t="array" aca="1" ref="D36" ca="1">_xll.VoseOutput("Week 23","calls","Poisson",23)+_xll.VosePoisson(C36)</f>
        <v>25</v>
      </c>
      <c r="E36" s="38" cm="1">
        <f t="array" aca="1" ref="E36" ca="1">_xll.VoseOutput("Week 23","calls","Pólya: own variation each week",23)+_xll.VosePoisson(_xll.VoseGamma(1/PolyaH,C36*PolyaH))</f>
        <v>25</v>
      </c>
      <c r="F36" s="38" cm="1">
        <f t="array" aca="1" ref="F36" ca="1">_xll.VoseOutput("Week 23","calls","Pólya: one level for the year",23)+_xll.VosePoisson(C36*Level)</f>
        <v>10</v>
      </c>
      <c r="G36" s="28"/>
      <c r="H36" s="28"/>
    </row>
    <row r="37" spans="2:8" x14ac:dyDescent="0.45">
      <c r="B37" s="36">
        <v>24</v>
      </c>
      <c r="C37" s="37">
        <f t="shared" si="0"/>
        <v>31.8</v>
      </c>
      <c r="D37" s="38" cm="1">
        <f t="array" aca="1" ref="D37" ca="1">_xll.VoseOutput("Week 24","calls","Poisson",24)+_xll.VosePoisson(C37)</f>
        <v>28</v>
      </c>
      <c r="E37" s="38" cm="1">
        <f t="array" aca="1" ref="E37" ca="1">_xll.VoseOutput("Week 24","calls","Pólya: own variation each week",24)+_xll.VosePoisson(_xll.VoseGamma(1/PolyaH,C37*PolyaH))</f>
        <v>21</v>
      </c>
      <c r="F37" s="38" cm="1">
        <f t="array" aca="1" ref="F37" ca="1">_xll.VoseOutput("Week 24","calls","Pólya: one level for the year",24)+_xll.VosePoisson(C37*Level)</f>
        <v>10</v>
      </c>
      <c r="G37" s="28"/>
      <c r="H37" s="28"/>
    </row>
    <row r="38" spans="2:8" x14ac:dyDescent="0.45">
      <c r="B38" s="36">
        <v>25</v>
      </c>
      <c r="C38" s="37">
        <f t="shared" si="0"/>
        <v>32</v>
      </c>
      <c r="D38" s="38" cm="1">
        <f t="array" aca="1" ref="D38" ca="1">_xll.VoseOutput("Week 25","calls","Poisson",25)+_xll.VosePoisson(C38)</f>
        <v>33</v>
      </c>
      <c r="E38" s="38" cm="1">
        <f t="array" aca="1" ref="E38" ca="1">_xll.VoseOutput("Week 25","calls","Pólya: own variation each week",25)+_xll.VosePoisson(_xll.VoseGamma(1/PolyaH,C38*PolyaH))</f>
        <v>25</v>
      </c>
      <c r="F38" s="38" cm="1">
        <f t="array" aca="1" ref="F38" ca="1">_xll.VoseOutput("Week 25","calls","Pólya: one level for the year",25)+_xll.VosePoisson(C38*Level)</f>
        <v>10</v>
      </c>
      <c r="G38" s="28"/>
      <c r="H38" s="28"/>
    </row>
    <row r="39" spans="2:8" x14ac:dyDescent="0.45">
      <c r="B39" s="36">
        <v>26</v>
      </c>
      <c r="C39" s="37">
        <f t="shared" si="0"/>
        <v>32.200000000000003</v>
      </c>
      <c r="D39" s="38" cm="1">
        <f t="array" aca="1" ref="D39" ca="1">_xll.VoseOutput("Week 26","calls","Poisson",26)+_xll.VosePoisson(C39)</f>
        <v>40</v>
      </c>
      <c r="E39" s="38" cm="1">
        <f t="array" aca="1" ref="E39" ca="1">_xll.VoseOutput("Week 26","calls","Pólya: own variation each week",26)+_xll.VosePoisson(_xll.VoseGamma(1/PolyaH,C39*PolyaH))</f>
        <v>66</v>
      </c>
      <c r="F39" s="38" cm="1">
        <f t="array" aca="1" ref="F39" ca="1">_xll.VoseOutput("Week 26","calls","Pólya: one level for the year",26)+_xll.VosePoisson(C39*Level)</f>
        <v>8</v>
      </c>
      <c r="G39" s="28"/>
      <c r="H39" s="28"/>
    </row>
    <row r="40" spans="2:8" x14ac:dyDescent="0.45">
      <c r="B40" s="36">
        <v>27</v>
      </c>
      <c r="C40" s="37">
        <f t="shared" si="0"/>
        <v>32.4</v>
      </c>
      <c r="D40" s="38" cm="1">
        <f t="array" aca="1" ref="D40" ca="1">_xll.VoseOutput("Week 27","calls","Poisson",27)+_xll.VosePoisson(C40)</f>
        <v>32</v>
      </c>
      <c r="E40" s="38" cm="1">
        <f t="array" aca="1" ref="E40" ca="1">_xll.VoseOutput("Week 27","calls","Pólya: own variation each week",27)+_xll.VosePoisson(_xll.VoseGamma(1/PolyaH,C40*PolyaH))</f>
        <v>66</v>
      </c>
      <c r="F40" s="38" cm="1">
        <f t="array" aca="1" ref="F40" ca="1">_xll.VoseOutput("Week 27","calls","Pólya: one level for the year",27)+_xll.VosePoisson(C40*Level)</f>
        <v>7</v>
      </c>
      <c r="G40" s="28"/>
      <c r="H40" s="28"/>
    </row>
    <row r="41" spans="2:8" x14ac:dyDescent="0.45">
      <c r="B41" s="36">
        <v>28</v>
      </c>
      <c r="C41" s="37">
        <f t="shared" si="0"/>
        <v>32.6</v>
      </c>
      <c r="D41" s="38" cm="1">
        <f t="array" aca="1" ref="D41" ca="1">_xll.VoseOutput("Week 28","calls","Poisson",28)+_xll.VosePoisson(C41)</f>
        <v>32</v>
      </c>
      <c r="E41" s="38" cm="1">
        <f t="array" aca="1" ref="E41" ca="1">_xll.VoseOutput("Week 28","calls","Pólya: own variation each week",28)+_xll.VosePoisson(_xll.VoseGamma(1/PolyaH,C41*PolyaH))</f>
        <v>34</v>
      </c>
      <c r="F41" s="38" cm="1">
        <f t="array" aca="1" ref="F41" ca="1">_xll.VoseOutput("Week 28","calls","Pólya: one level for the year",28)+_xll.VosePoisson(C41*Level)</f>
        <v>11</v>
      </c>
      <c r="G41" s="28"/>
      <c r="H41" s="28"/>
    </row>
    <row r="42" spans="2:8" x14ac:dyDescent="0.45">
      <c r="B42" s="36">
        <v>29</v>
      </c>
      <c r="C42" s="37">
        <f t="shared" si="0"/>
        <v>32.799999999999997</v>
      </c>
      <c r="D42" s="38" cm="1">
        <f t="array" aca="1" ref="D42" ca="1">_xll.VoseOutput("Week 29","calls","Poisson",29)+_xll.VosePoisson(C42)</f>
        <v>43</v>
      </c>
      <c r="E42" s="38" cm="1">
        <f t="array" aca="1" ref="E42" ca="1">_xll.VoseOutput("Week 29","calls","Pólya: own variation each week",29)+_xll.VosePoisson(_xll.VoseGamma(1/PolyaH,C42*PolyaH))</f>
        <v>13</v>
      </c>
      <c r="F42" s="38" cm="1">
        <f t="array" aca="1" ref="F42" ca="1">_xll.VoseOutput("Week 29","calls","Pólya: one level for the year",29)+_xll.VosePoisson(C42*Level)</f>
        <v>13</v>
      </c>
      <c r="G42" s="28"/>
      <c r="H42" s="28"/>
    </row>
    <row r="43" spans="2:8" x14ac:dyDescent="0.45">
      <c r="B43" s="36">
        <v>30</v>
      </c>
      <c r="C43" s="37">
        <f t="shared" si="0"/>
        <v>33</v>
      </c>
      <c r="D43" s="38" cm="1">
        <f t="array" aca="1" ref="D43" ca="1">_xll.VoseOutput("Week 30","calls","Poisson",30)+_xll.VosePoisson(C43)</f>
        <v>35</v>
      </c>
      <c r="E43" s="38" cm="1">
        <f t="array" aca="1" ref="E43" ca="1">_xll.VoseOutput("Week 30","calls","Pólya: own variation each week",30)+_xll.VosePoisson(_xll.VoseGamma(1/PolyaH,C43*PolyaH))</f>
        <v>47</v>
      </c>
      <c r="F43" s="38" cm="1">
        <f t="array" aca="1" ref="F43" ca="1">_xll.VoseOutput("Week 30","calls","Pólya: one level for the year",30)+_xll.VosePoisson(C43*Level)</f>
        <v>13</v>
      </c>
      <c r="G43" s="28"/>
      <c r="H43" s="28"/>
    </row>
    <row r="44" spans="2:8" x14ac:dyDescent="0.45">
      <c r="B44" s="36">
        <v>31</v>
      </c>
      <c r="C44" s="37">
        <f t="shared" si="0"/>
        <v>33.200000000000003</v>
      </c>
      <c r="D44" s="38" cm="1">
        <f t="array" aca="1" ref="D44" ca="1">_xll.VoseOutput("Week 31","calls","Poisson",31)+_xll.VosePoisson(C44)</f>
        <v>37</v>
      </c>
      <c r="E44" s="38" cm="1">
        <f t="array" aca="1" ref="E44" ca="1">_xll.VoseOutput("Week 31","calls","Pólya: own variation each week",31)+_xll.VosePoisson(_xll.VoseGamma(1/PolyaH,C44*PolyaH))</f>
        <v>39</v>
      </c>
      <c r="F44" s="38" cm="1">
        <f t="array" aca="1" ref="F44" ca="1">_xll.VoseOutput("Week 31","calls","Pólya: one level for the year",31)+_xll.VosePoisson(C44*Level)</f>
        <v>9</v>
      </c>
      <c r="G44" s="28"/>
      <c r="H44" s="28"/>
    </row>
    <row r="45" spans="2:8" x14ac:dyDescent="0.45">
      <c r="B45" s="36">
        <v>32</v>
      </c>
      <c r="C45" s="37">
        <f t="shared" si="0"/>
        <v>33.4</v>
      </c>
      <c r="D45" s="38" cm="1">
        <f t="array" aca="1" ref="D45" ca="1">_xll.VoseOutput("Week 32","calls","Poisson",32)+_xll.VosePoisson(C45)</f>
        <v>34</v>
      </c>
      <c r="E45" s="38" cm="1">
        <f t="array" aca="1" ref="E45" ca="1">_xll.VoseOutput("Week 32","calls","Pólya: own variation each week",32)+_xll.VosePoisson(_xll.VoseGamma(1/PolyaH,C45*PolyaH))</f>
        <v>28</v>
      </c>
      <c r="F45" s="38" cm="1">
        <f t="array" aca="1" ref="F45" ca="1">_xll.VoseOutput("Week 32","calls","Pólya: one level for the year",32)+_xll.VosePoisson(C45*Level)</f>
        <v>17</v>
      </c>
      <c r="G45" s="28"/>
      <c r="H45" s="28"/>
    </row>
    <row r="46" spans="2:8" x14ac:dyDescent="0.45">
      <c r="B46" s="36">
        <v>33</v>
      </c>
      <c r="C46" s="37">
        <f t="shared" ref="C46:C77" si="1">Intercept+Gradient*B46</f>
        <v>33.6</v>
      </c>
      <c r="D46" s="38" cm="1">
        <f t="array" aca="1" ref="D46" ca="1">_xll.VoseOutput("Week 33","calls","Poisson",33)+_xll.VosePoisson(C46)</f>
        <v>38</v>
      </c>
      <c r="E46" s="38" cm="1">
        <f t="array" aca="1" ref="E46" ca="1">_xll.VoseOutput("Week 33","calls","Pólya: own variation each week",33)+_xll.VosePoisson(_xll.VoseGamma(1/PolyaH,C46*PolyaH))</f>
        <v>53</v>
      </c>
      <c r="F46" s="38" cm="1">
        <f t="array" aca="1" ref="F46" ca="1">_xll.VoseOutput("Week 33","calls","Pólya: one level for the year",33)+_xll.VosePoisson(C46*Level)</f>
        <v>10</v>
      </c>
      <c r="G46" s="28"/>
      <c r="H46" s="28"/>
    </row>
    <row r="47" spans="2:8" x14ac:dyDescent="0.45">
      <c r="B47" s="36">
        <v>34</v>
      </c>
      <c r="C47" s="37">
        <f t="shared" si="1"/>
        <v>33.799999999999997</v>
      </c>
      <c r="D47" s="38" cm="1">
        <f t="array" aca="1" ref="D47" ca="1">_xll.VoseOutput("Week 34","calls","Poisson",34)+_xll.VosePoisson(C47)</f>
        <v>40</v>
      </c>
      <c r="E47" s="38" cm="1">
        <f t="array" aca="1" ref="E47" ca="1">_xll.VoseOutput("Week 34","calls","Pólya: own variation each week",34)+_xll.VosePoisson(_xll.VoseGamma(1/PolyaH,C47*PolyaH))</f>
        <v>30</v>
      </c>
      <c r="F47" s="38" cm="1">
        <f t="array" aca="1" ref="F47" ca="1">_xll.VoseOutput("Week 34","calls","Pólya: one level for the year",34)+_xll.VosePoisson(C47*Level)</f>
        <v>19</v>
      </c>
      <c r="G47" s="28"/>
      <c r="H47" s="28"/>
    </row>
    <row r="48" spans="2:8" x14ac:dyDescent="0.45">
      <c r="B48" s="36">
        <v>35</v>
      </c>
      <c r="C48" s="37">
        <f t="shared" si="1"/>
        <v>34</v>
      </c>
      <c r="D48" s="38" cm="1">
        <f t="array" aca="1" ref="D48" ca="1">_xll.VoseOutput("Week 35","calls","Poisson",35)+_xll.VosePoisson(C48)</f>
        <v>29</v>
      </c>
      <c r="E48" s="38" cm="1">
        <f t="array" aca="1" ref="E48" ca="1">_xll.VoseOutput("Week 35","calls","Pólya: own variation each week",35)+_xll.VosePoisson(_xll.VoseGamma(1/PolyaH,C48*PolyaH))</f>
        <v>17</v>
      </c>
      <c r="F48" s="38" cm="1">
        <f t="array" aca="1" ref="F48" ca="1">_xll.VoseOutput("Week 35","calls","Pólya: one level for the year",35)+_xll.VosePoisson(C48*Level)</f>
        <v>9</v>
      </c>
      <c r="G48" s="28"/>
      <c r="H48" s="28"/>
    </row>
    <row r="49" spans="2:8" x14ac:dyDescent="0.45">
      <c r="B49" s="36">
        <v>36</v>
      </c>
      <c r="C49" s="37">
        <f t="shared" si="1"/>
        <v>34.200000000000003</v>
      </c>
      <c r="D49" s="38" cm="1">
        <f t="array" aca="1" ref="D49" ca="1">_xll.VoseOutput("Week 36","calls","Poisson",36)+_xll.VosePoisson(C49)</f>
        <v>30</v>
      </c>
      <c r="E49" s="38" cm="1">
        <f t="array" aca="1" ref="E49" ca="1">_xll.VoseOutput("Week 36","calls","Pólya: own variation each week",36)+_xll.VosePoisson(_xll.VoseGamma(1/PolyaH,C49*PolyaH))</f>
        <v>19</v>
      </c>
      <c r="F49" s="38" cm="1">
        <f t="array" aca="1" ref="F49" ca="1">_xll.VoseOutput("Week 36","calls","Pólya: one level for the year",36)+_xll.VosePoisson(C49*Level)</f>
        <v>10</v>
      </c>
      <c r="G49" s="28"/>
      <c r="H49" s="28"/>
    </row>
    <row r="50" spans="2:8" x14ac:dyDescent="0.45">
      <c r="B50" s="36">
        <v>37</v>
      </c>
      <c r="C50" s="37">
        <f t="shared" si="1"/>
        <v>34.4</v>
      </c>
      <c r="D50" s="38" cm="1">
        <f t="array" aca="1" ref="D50" ca="1">_xll.VoseOutput("Week 37","calls","Poisson",37)+_xll.VosePoisson(C50)</f>
        <v>37</v>
      </c>
      <c r="E50" s="38" cm="1">
        <f t="array" aca="1" ref="E50" ca="1">_xll.VoseOutput("Week 37","calls","Pólya: own variation each week",37)+_xll.VosePoisson(_xll.VoseGamma(1/PolyaH,C50*PolyaH))</f>
        <v>29</v>
      </c>
      <c r="F50" s="38" cm="1">
        <f t="array" aca="1" ref="F50" ca="1">_xll.VoseOutput("Week 37","calls","Pólya: one level for the year",37)+_xll.VosePoisson(C50*Level)</f>
        <v>12</v>
      </c>
      <c r="G50" s="28"/>
      <c r="H50" s="28"/>
    </row>
    <row r="51" spans="2:8" x14ac:dyDescent="0.45">
      <c r="B51" s="36">
        <v>38</v>
      </c>
      <c r="C51" s="37">
        <f t="shared" si="1"/>
        <v>34.6</v>
      </c>
      <c r="D51" s="38" cm="1">
        <f t="array" aca="1" ref="D51" ca="1">_xll.VoseOutput("Week 38","calls","Poisson",38)+_xll.VosePoisson(C51)</f>
        <v>34</v>
      </c>
      <c r="E51" s="38" cm="1">
        <f t="array" aca="1" ref="E51" ca="1">_xll.VoseOutput("Week 38","calls","Pólya: own variation each week",38)+_xll.VosePoisson(_xll.VoseGamma(1/PolyaH,C51*PolyaH))</f>
        <v>20</v>
      </c>
      <c r="F51" s="38" cm="1">
        <f t="array" aca="1" ref="F51" ca="1">_xll.VoseOutput("Week 38","calls","Pólya: one level for the year",38)+_xll.VosePoisson(C51*Level)</f>
        <v>12</v>
      </c>
      <c r="G51" s="28"/>
      <c r="H51" s="28"/>
    </row>
    <row r="52" spans="2:8" x14ac:dyDescent="0.45">
      <c r="B52" s="36">
        <v>39</v>
      </c>
      <c r="C52" s="37">
        <f t="shared" si="1"/>
        <v>34.799999999999997</v>
      </c>
      <c r="D52" s="38" cm="1">
        <f t="array" aca="1" ref="D52" ca="1">_xll.VoseOutput("Week 39","calls","Poisson",39)+_xll.VosePoisson(C52)</f>
        <v>31</v>
      </c>
      <c r="E52" s="38" cm="1">
        <f t="array" aca="1" ref="E52" ca="1">_xll.VoseOutput("Week 39","calls","Pólya: own variation each week",39)+_xll.VosePoisson(_xll.VoseGamma(1/PolyaH,C52*PolyaH))</f>
        <v>56</v>
      </c>
      <c r="F52" s="38" cm="1">
        <f t="array" aca="1" ref="F52" ca="1">_xll.VoseOutput("Week 39","calls","Pólya: one level for the year",39)+_xll.VosePoisson(C52*Level)</f>
        <v>11</v>
      </c>
      <c r="G52" s="28"/>
      <c r="H52" s="28"/>
    </row>
    <row r="53" spans="2:8" x14ac:dyDescent="0.45">
      <c r="B53" s="36">
        <v>40</v>
      </c>
      <c r="C53" s="37">
        <f t="shared" si="1"/>
        <v>35</v>
      </c>
      <c r="D53" s="38" cm="1">
        <f t="array" aca="1" ref="D53" ca="1">_xll.VoseOutput("Week 40","calls","Poisson",40)+_xll.VosePoisson(C53)</f>
        <v>44</v>
      </c>
      <c r="E53" s="38" cm="1">
        <f t="array" aca="1" ref="E53" ca="1">_xll.VoseOutput("Week 40","calls","Pólya: own variation each week",40)+_xll.VosePoisson(_xll.VoseGamma(1/PolyaH,C53*PolyaH))</f>
        <v>16</v>
      </c>
      <c r="F53" s="38" cm="1">
        <f t="array" aca="1" ref="F53" ca="1">_xll.VoseOutput("Week 40","calls","Pólya: one level for the year",40)+_xll.VosePoisson(C53*Level)</f>
        <v>10</v>
      </c>
      <c r="G53" s="28"/>
      <c r="H53" s="28"/>
    </row>
    <row r="54" spans="2:8" x14ac:dyDescent="0.45">
      <c r="B54" s="36">
        <v>41</v>
      </c>
      <c r="C54" s="37">
        <f t="shared" si="1"/>
        <v>35.200000000000003</v>
      </c>
      <c r="D54" s="38" cm="1">
        <f t="array" aca="1" ref="D54" ca="1">_xll.VoseOutput("Week 41","calls","Poisson",41)+_xll.VosePoisson(C54)</f>
        <v>32</v>
      </c>
      <c r="E54" s="38" cm="1">
        <f t="array" aca="1" ref="E54" ca="1">_xll.VoseOutput("Week 41","calls","Pólya: own variation each week",41)+_xll.VosePoisson(_xll.VoseGamma(1/PolyaH,C54*PolyaH))</f>
        <v>31</v>
      </c>
      <c r="F54" s="38" cm="1">
        <f t="array" aca="1" ref="F54" ca="1">_xll.VoseOutput("Week 41","calls","Pólya: one level for the year",41)+_xll.VosePoisson(C54*Level)</f>
        <v>8</v>
      </c>
      <c r="G54" s="28"/>
      <c r="H54" s="28"/>
    </row>
    <row r="55" spans="2:8" x14ac:dyDescent="0.45">
      <c r="B55" s="36">
        <v>42</v>
      </c>
      <c r="C55" s="37">
        <f t="shared" si="1"/>
        <v>35.4</v>
      </c>
      <c r="D55" s="38" cm="1">
        <f t="array" aca="1" ref="D55" ca="1">_xll.VoseOutput("Week 42","calls","Poisson",42)+_xll.VosePoisson(C55)</f>
        <v>33</v>
      </c>
      <c r="E55" s="38" cm="1">
        <f t="array" aca="1" ref="E55" ca="1">_xll.VoseOutput("Week 42","calls","Pólya: own variation each week",42)+_xll.VosePoisson(_xll.VoseGamma(1/PolyaH,C55*PolyaH))</f>
        <v>30</v>
      </c>
      <c r="F55" s="38" cm="1">
        <f t="array" aca="1" ref="F55" ca="1">_xll.VoseOutput("Week 42","calls","Pólya: one level for the year",42)+_xll.VosePoisson(C55*Level)</f>
        <v>10</v>
      </c>
      <c r="G55" s="28"/>
      <c r="H55" s="28"/>
    </row>
    <row r="56" spans="2:8" x14ac:dyDescent="0.45">
      <c r="B56" s="36">
        <v>43</v>
      </c>
      <c r="C56" s="37">
        <f t="shared" si="1"/>
        <v>35.6</v>
      </c>
      <c r="D56" s="38" cm="1">
        <f t="array" aca="1" ref="D56" ca="1">_xll.VoseOutput("Week 43","calls","Poisson",43)+_xll.VosePoisson(C56)</f>
        <v>29</v>
      </c>
      <c r="E56" s="38" cm="1">
        <f t="array" aca="1" ref="E56" ca="1">_xll.VoseOutput("Week 43","calls","Pólya: own variation each week",43)+_xll.VosePoisson(_xll.VoseGamma(1/PolyaH,C56*PolyaH))</f>
        <v>6</v>
      </c>
      <c r="F56" s="38" cm="1">
        <f t="array" aca="1" ref="F56" ca="1">_xll.VoseOutput("Week 43","calls","Pólya: one level for the year",43)+_xll.VosePoisson(C56*Level)</f>
        <v>14</v>
      </c>
      <c r="G56" s="28"/>
      <c r="H56" s="28"/>
    </row>
    <row r="57" spans="2:8" x14ac:dyDescent="0.45">
      <c r="B57" s="36">
        <v>44</v>
      </c>
      <c r="C57" s="37">
        <f t="shared" si="1"/>
        <v>35.799999999999997</v>
      </c>
      <c r="D57" s="38" cm="1">
        <f t="array" aca="1" ref="D57" ca="1">_xll.VoseOutput("Week 44","calls","Poisson",44)+_xll.VosePoisson(C57)</f>
        <v>29</v>
      </c>
      <c r="E57" s="38" cm="1">
        <f t="array" aca="1" ref="E57" ca="1">_xll.VoseOutput("Week 44","calls","Pólya: own variation each week",44)+_xll.VosePoisson(_xll.VoseGamma(1/PolyaH,C57*PolyaH))</f>
        <v>11</v>
      </c>
      <c r="F57" s="38" cm="1">
        <f t="array" aca="1" ref="F57" ca="1">_xll.VoseOutput("Week 44","calls","Pólya: one level for the year",44)+_xll.VosePoisson(C57*Level)</f>
        <v>12</v>
      </c>
      <c r="G57" s="28"/>
      <c r="H57" s="28"/>
    </row>
    <row r="58" spans="2:8" x14ac:dyDescent="0.45">
      <c r="B58" s="36">
        <v>45</v>
      </c>
      <c r="C58" s="37">
        <f t="shared" si="1"/>
        <v>36</v>
      </c>
      <c r="D58" s="38" cm="1">
        <f t="array" aca="1" ref="D58" ca="1">_xll.VoseOutput("Week 45","calls","Poisson",45)+_xll.VosePoisson(C58)</f>
        <v>29</v>
      </c>
      <c r="E58" s="38" cm="1">
        <f t="array" aca="1" ref="E58" ca="1">_xll.VoseOutput("Week 45","calls","Pólya: own variation each week",45)+_xll.VosePoisson(_xll.VoseGamma(1/PolyaH,C58*PolyaH))</f>
        <v>16</v>
      </c>
      <c r="F58" s="38" cm="1">
        <f t="array" aca="1" ref="F58" ca="1">_xll.VoseOutput("Week 45","calls","Pólya: one level for the year",45)+_xll.VosePoisson(C58*Level)</f>
        <v>5</v>
      </c>
      <c r="G58" s="28"/>
      <c r="H58" s="28"/>
    </row>
    <row r="59" spans="2:8" x14ac:dyDescent="0.45">
      <c r="B59" s="36">
        <v>46</v>
      </c>
      <c r="C59" s="37">
        <f t="shared" si="1"/>
        <v>36.200000000000003</v>
      </c>
      <c r="D59" s="38" cm="1">
        <f t="array" aca="1" ref="D59" ca="1">_xll.VoseOutput("Week 46","calls","Poisson",46)+_xll.VosePoisson(C59)</f>
        <v>40</v>
      </c>
      <c r="E59" s="38" cm="1">
        <f t="array" aca="1" ref="E59" ca="1">_xll.VoseOutput("Week 46","calls","Pólya: own variation each week",46)+_xll.VosePoisson(_xll.VoseGamma(1/PolyaH,C59*PolyaH))</f>
        <v>18</v>
      </c>
      <c r="F59" s="38" cm="1">
        <f t="array" aca="1" ref="F59" ca="1">_xll.VoseOutput("Week 46","calls","Pólya: one level for the year",46)+_xll.VosePoisson(C59*Level)</f>
        <v>24</v>
      </c>
      <c r="G59" s="28"/>
      <c r="H59" s="28"/>
    </row>
    <row r="60" spans="2:8" x14ac:dyDescent="0.45">
      <c r="B60" s="36">
        <v>47</v>
      </c>
      <c r="C60" s="37">
        <f t="shared" si="1"/>
        <v>36.4</v>
      </c>
      <c r="D60" s="38" cm="1">
        <f t="array" aca="1" ref="D60" ca="1">_xll.VoseOutput("Week 47","calls","Poisson",47)+_xll.VosePoisson(C60)</f>
        <v>30</v>
      </c>
      <c r="E60" s="38" cm="1">
        <f t="array" aca="1" ref="E60" ca="1">_xll.VoseOutput("Week 47","calls","Pólya: own variation each week",47)+_xll.VosePoisson(_xll.VoseGamma(1/PolyaH,C60*PolyaH))</f>
        <v>74</v>
      </c>
      <c r="F60" s="38" cm="1">
        <f t="array" aca="1" ref="F60" ca="1">_xll.VoseOutput("Week 47","calls","Pólya: one level for the year",47)+_xll.VosePoisson(C60*Level)</f>
        <v>6</v>
      </c>
      <c r="G60" s="28"/>
      <c r="H60" s="28"/>
    </row>
    <row r="61" spans="2:8" x14ac:dyDescent="0.45">
      <c r="B61" s="36">
        <v>48</v>
      </c>
      <c r="C61" s="37">
        <f t="shared" si="1"/>
        <v>36.6</v>
      </c>
      <c r="D61" s="38" cm="1">
        <f t="array" aca="1" ref="D61" ca="1">_xll.VoseOutput("Week 48","calls","Poisson",48)+_xll.VosePoisson(C61)</f>
        <v>47</v>
      </c>
      <c r="E61" s="38" cm="1">
        <f t="array" aca="1" ref="E61" ca="1">_xll.VoseOutput("Week 48","calls","Pólya: own variation each week",48)+_xll.VosePoisson(_xll.VoseGamma(1/PolyaH,C61*PolyaH))</f>
        <v>10</v>
      </c>
      <c r="F61" s="38" cm="1">
        <f t="array" aca="1" ref="F61" ca="1">_xll.VoseOutput("Week 48","calls","Pólya: one level for the year",48)+_xll.VosePoisson(C61*Level)</f>
        <v>9</v>
      </c>
      <c r="G61" s="28"/>
      <c r="H61" s="28"/>
    </row>
    <row r="62" spans="2:8" x14ac:dyDescent="0.45">
      <c r="B62" s="36">
        <v>49</v>
      </c>
      <c r="C62" s="37">
        <f t="shared" si="1"/>
        <v>36.799999999999997</v>
      </c>
      <c r="D62" s="38" cm="1">
        <f t="array" aca="1" ref="D62" ca="1">_xll.VoseOutput("Week 49","calls","Poisson",49)+_xll.VosePoisson(C62)</f>
        <v>25</v>
      </c>
      <c r="E62" s="38" cm="1">
        <f t="array" aca="1" ref="E62" ca="1">_xll.VoseOutput("Week 49","calls","Pólya: own variation each week",49)+_xll.VosePoisson(_xll.VoseGamma(1/PolyaH,C62*PolyaH))</f>
        <v>14</v>
      </c>
      <c r="F62" s="38" cm="1">
        <f t="array" aca="1" ref="F62" ca="1">_xll.VoseOutput("Week 49","calls","Pólya: one level for the year",49)+_xll.VosePoisson(C62*Level)</f>
        <v>7</v>
      </c>
      <c r="G62" s="28"/>
      <c r="H62" s="28"/>
    </row>
    <row r="63" spans="2:8" x14ac:dyDescent="0.45">
      <c r="B63" s="36">
        <v>50</v>
      </c>
      <c r="C63" s="37">
        <f t="shared" si="1"/>
        <v>37</v>
      </c>
      <c r="D63" s="38" cm="1">
        <f t="array" aca="1" ref="D63" ca="1">_xll.VoseOutput("Week 50","calls","Poisson",50)+_xll.VosePoisson(C63)</f>
        <v>36</v>
      </c>
      <c r="E63" s="38" cm="1">
        <f t="array" aca="1" ref="E63" ca="1">_xll.VoseOutput("Week 50","calls","Pólya: own variation each week",50)+_xll.VosePoisson(_xll.VoseGamma(1/PolyaH,C63*PolyaH))</f>
        <v>95</v>
      </c>
      <c r="F63" s="38" cm="1">
        <f t="array" aca="1" ref="F63" ca="1">_xll.VoseOutput("Week 50","calls","Pólya: one level for the year",50)+_xll.VosePoisson(C63*Level)</f>
        <v>12</v>
      </c>
      <c r="G63" s="28"/>
      <c r="H63" s="28"/>
    </row>
    <row r="64" spans="2:8" x14ac:dyDescent="0.45">
      <c r="B64" s="39" t="s">
        <v>120</v>
      </c>
      <c r="C64" s="40">
        <f>SUM(C14:C63)</f>
        <v>1605</v>
      </c>
      <c r="D64" s="40">
        <f ca="1">SUM(D14:D63)</f>
        <v>1605</v>
      </c>
      <c r="E64" s="40">
        <f ca="1">SUM(E14:E63)</f>
        <v>1475</v>
      </c>
      <c r="F64" s="40">
        <f ca="1">SUM(F14:F63)</f>
        <v>518</v>
      </c>
      <c r="G64" s="41"/>
      <c r="H64" s="41"/>
    </row>
    <row r="65" spans="2:8" ht="8" customHeight="1" x14ac:dyDescent="0.45"/>
    <row r="66" spans="2:8" ht="22.05" customHeight="1" x14ac:dyDescent="0.5">
      <c r="B66" s="7" t="s">
        <v>121</v>
      </c>
      <c r="C66" s="8"/>
      <c r="D66" s="8"/>
      <c r="E66" s="8"/>
      <c r="F66" s="8"/>
      <c r="G66" s="8"/>
      <c r="H66" s="8"/>
    </row>
    <row r="67" spans="2:8" ht="18" customHeight="1" x14ac:dyDescent="0.45">
      <c r="B67" s="13" t="s">
        <v>122</v>
      </c>
    </row>
    <row r="68" spans="2:8" ht="18" customHeight="1" x14ac:dyDescent="0.45">
      <c r="B68" s="42" t="s">
        <v>123</v>
      </c>
      <c r="C68" s="5"/>
      <c r="D68" s="42" t="s">
        <v>88</v>
      </c>
      <c r="E68" s="43" t="s">
        <v>124</v>
      </c>
      <c r="F68" s="5"/>
      <c r="G68" s="5"/>
      <c r="H68" s="42" t="s">
        <v>125</v>
      </c>
    </row>
    <row r="69" spans="2:8" x14ac:dyDescent="0.45">
      <c r="B69" s="25" t="s">
        <v>126</v>
      </c>
      <c r="C69" s="28"/>
      <c r="D69" s="26" t="s">
        <v>93</v>
      </c>
      <c r="E69" s="38" cm="1">
        <f t="array" aca="1" ref="E69" ca="1">_xll.VoseOutput("Total, Poisson","calls")+D64</f>
        <v>1605</v>
      </c>
      <c r="F69" s="28"/>
      <c r="G69" s="28"/>
      <c r="H69" s="26"/>
    </row>
    <row r="70" spans="2:8" x14ac:dyDescent="0.45">
      <c r="B70" s="25" t="s">
        <v>127</v>
      </c>
      <c r="C70" s="28"/>
      <c r="D70" s="26" t="s">
        <v>93</v>
      </c>
      <c r="E70" s="38" cm="1">
        <f t="array" aca="1" ref="E70" ca="1">_xll.VoseOutput("Total, Pólya each week","calls")+E64</f>
        <v>1475</v>
      </c>
      <c r="F70" s="28"/>
      <c r="G70" s="28"/>
      <c r="H70" s="26"/>
    </row>
    <row r="71" spans="2:8" x14ac:dyDescent="0.45">
      <c r="B71" s="25" t="s">
        <v>128</v>
      </c>
      <c r="C71" s="28"/>
      <c r="D71" s="26" t="s">
        <v>93</v>
      </c>
      <c r="E71" s="38" cm="1">
        <f t="array" aca="1" ref="E71" ca="1">_xll.VoseOutput("Total, Pólya shared level","calls")+F64</f>
        <v>518</v>
      </c>
      <c r="F71" s="28"/>
      <c r="G71" s="28"/>
      <c r="H71" s="26"/>
    </row>
    <row r="72" spans="2:8" x14ac:dyDescent="0.45">
      <c r="B72" s="25" t="s">
        <v>129</v>
      </c>
      <c r="C72" s="28"/>
      <c r="D72" s="26" t="s">
        <v>93</v>
      </c>
      <c r="E72" s="44">
        <f>SUM(ExpCalls)</f>
        <v>1605</v>
      </c>
      <c r="F72" s="28"/>
      <c r="G72" s="28"/>
      <c r="H72" s="26" t="s">
        <v>130</v>
      </c>
    </row>
    <row r="73" spans="2:8" x14ac:dyDescent="0.45">
      <c r="B73" s="25" t="s">
        <v>131</v>
      </c>
      <c r="C73" s="28"/>
      <c r="D73" s="26" t="s">
        <v>93</v>
      </c>
      <c r="E73" s="37">
        <f>SQRT(SUM(ExpCalls))</f>
        <v>40.06245124802026</v>
      </c>
      <c r="F73" s="28"/>
      <c r="G73" s="28"/>
      <c r="H73" s="26" t="s">
        <v>132</v>
      </c>
    </row>
    <row r="74" spans="2:8" x14ac:dyDescent="0.45">
      <c r="B74" s="25" t="s">
        <v>133</v>
      </c>
      <c r="C74" s="28"/>
      <c r="D74" s="26" t="s">
        <v>93</v>
      </c>
      <c r="E74" s="37">
        <f>SQRT(SUM(ExpCalls)+PolyaH*SUMSQ(ExpCalls))</f>
        <v>131.09576652203532</v>
      </c>
      <c r="F74" s="28"/>
      <c r="G74" s="28"/>
      <c r="H74" s="26" t="s">
        <v>134</v>
      </c>
    </row>
    <row r="75" spans="2:8" x14ac:dyDescent="0.45">
      <c r="B75" s="25" t="s">
        <v>135</v>
      </c>
      <c r="C75" s="28"/>
      <c r="D75" s="26" t="s">
        <v>93</v>
      </c>
      <c r="E75" s="37">
        <f>SQRT(SUM(ExpCalls)+PolyaH*SUM(ExpCalls)^2)</f>
        <v>880.00710224406714</v>
      </c>
      <c r="F75" s="28"/>
      <c r="G75" s="28"/>
      <c r="H75" s="26" t="s">
        <v>136</v>
      </c>
    </row>
    <row r="76" spans="2:8" ht="8" customHeight="1" x14ac:dyDescent="0.45"/>
    <row r="77" spans="2:8" ht="22.05" customHeight="1" x14ac:dyDescent="0.5">
      <c r="B77" s="7" t="s">
        <v>137</v>
      </c>
      <c r="C77" s="8"/>
      <c r="D77" s="8"/>
      <c r="E77" s="8"/>
      <c r="F77" s="8"/>
      <c r="G77" s="8"/>
      <c r="H77" s="8"/>
    </row>
    <row r="78" spans="2:8" ht="18" customHeight="1" x14ac:dyDescent="0.45">
      <c r="B78" s="13" t="s">
        <v>138</v>
      </c>
    </row>
    <row r="79" spans="2:8" x14ac:dyDescent="0.45">
      <c r="B79" s="25" t="s">
        <v>139</v>
      </c>
      <c r="C79" s="28"/>
      <c r="D79" s="28"/>
      <c r="E79" s="45" t="str">
        <f>IF(MIN(ExpCalls)&gt;=0,"OK","CHECK")</f>
        <v>OK</v>
      </c>
      <c r="F79" s="28"/>
      <c r="G79" s="28"/>
      <c r="H79" s="28"/>
    </row>
    <row r="80" spans="2:8" x14ac:dyDescent="0.45">
      <c r="B80" s="25" t="s">
        <v>140</v>
      </c>
      <c r="C80" s="28"/>
      <c r="D80" s="28"/>
      <c r="E80" s="45" t="str">
        <f>IF(PolyaH&gt;0,"OK","CHECK")</f>
        <v>OK</v>
      </c>
      <c r="F80" s="28"/>
      <c r="G80" s="28"/>
      <c r="H80" s="28"/>
    </row>
    <row r="81" ht="14" customHeight="1" x14ac:dyDescent="0.45"/>
  </sheetData>
  <conditionalFormatting sqref="E79:E80">
    <cfRule type="expression" dxfId="5" priority="1">
      <formula>E79="CHECK"</formula>
    </cfRule>
  </conditionalFormatting>
  <hyperlinks>
    <hyperlink ref="B4" location="'Inputs'!A1" display="◂  Inputs" xr:uid="{00000000-0004-0000-0200-000000000000}"/>
    <hyperlink ref="H4" location="'Results'!A1" display="Next:  Results  ▸" xr:uid="{00000000-0004-0000-0200-000001000000}"/>
  </hyperlinks>
  <printOptions horizontalCentered="1"/>
  <pageMargins left="0.4" right="0.4" top="0.5" bottom="0.6" header="0.25" footer="0.25"/>
  <pageSetup paperSize="9" scale="99"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1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141</v>
      </c>
      <c r="C3" s="1"/>
      <c r="D3" s="1"/>
      <c r="E3" s="1"/>
      <c r="F3" s="1"/>
      <c r="G3" s="1"/>
      <c r="H3" s="1"/>
      <c r="I3" s="1"/>
      <c r="J3" s="1"/>
      <c r="K3" s="1"/>
      <c r="L3" s="1"/>
      <c r="M3" s="1"/>
      <c r="N3" s="1"/>
      <c r="O3" s="1"/>
      <c r="P3" s="1"/>
      <c r="Q3" s="1"/>
      <c r="R3" s="1"/>
    </row>
    <row r="4" spans="1:18" ht="20" customHeight="1" x14ac:dyDescent="0.45">
      <c r="A4" s="5"/>
      <c r="B4" s="22" t="s">
        <v>142</v>
      </c>
      <c r="C4" s="5"/>
      <c r="D4" s="5"/>
      <c r="E4" s="5"/>
      <c r="F4" s="5"/>
      <c r="G4" s="5"/>
      <c r="H4" s="5"/>
      <c r="I4" s="5"/>
      <c r="J4" s="5"/>
      <c r="K4" s="5"/>
      <c r="L4" s="5"/>
      <c r="M4" s="5"/>
      <c r="N4" s="5"/>
      <c r="O4" s="5"/>
      <c r="P4" s="5"/>
      <c r="Q4" s="5"/>
      <c r="R4" s="5"/>
    </row>
    <row r="5" spans="1:18" ht="8" customHeight="1" x14ac:dyDescent="0.45"/>
    <row r="6" spans="1:18" ht="26" customHeight="1" x14ac:dyDescent="0.45">
      <c r="B6" s="46" t="str" cm="1">
        <f t="array" aca="1" ref="B6" ca="1">IF(ISNUMBER(_xll.VoseSimMean(TotPolS)),"✔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7"/>
      <c r="D6" s="47"/>
      <c r="E6" s="47"/>
      <c r="F6" s="47"/>
      <c r="G6" s="47"/>
    </row>
    <row r="7" spans="1:18" x14ac:dyDescent="0.45">
      <c r="B7" s="48"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143</v>
      </c>
      <c r="C9" s="8"/>
      <c r="D9" s="8"/>
      <c r="E9" s="8"/>
      <c r="F9" s="8"/>
      <c r="G9" s="8"/>
      <c r="I9" s="49" t="s">
        <v>144</v>
      </c>
      <c r="J9" s="8"/>
      <c r="K9" s="8"/>
      <c r="L9" s="8"/>
      <c r="M9" s="8"/>
      <c r="N9" s="8"/>
      <c r="O9" s="8"/>
      <c r="P9" s="8"/>
      <c r="Q9" s="8"/>
      <c r="R9" s="8"/>
    </row>
    <row r="10" spans="1:18" ht="18" customHeight="1" x14ac:dyDescent="0.45">
      <c r="B10" s="13" t="s">
        <v>145</v>
      </c>
    </row>
    <row r="11" spans="1:18" ht="18" customHeight="1" x14ac:dyDescent="0.45">
      <c r="B11" s="23" t="s">
        <v>146</v>
      </c>
      <c r="C11" s="24" t="s">
        <v>147</v>
      </c>
      <c r="D11" s="24" t="s">
        <v>148</v>
      </c>
      <c r="E11" s="24" t="s">
        <v>149</v>
      </c>
      <c r="F11" s="24" t="s">
        <v>150</v>
      </c>
      <c r="G11" s="24" t="s">
        <v>151</v>
      </c>
    </row>
    <row r="12" spans="1:18" x14ac:dyDescent="0.45">
      <c r="B12" s="25" t="s">
        <v>111</v>
      </c>
      <c r="C12" s="50" cm="1">
        <f t="array" aca="1" ref="C12" ca="1">_xll.VoseSimMean(TotPois)</f>
        <v>1604.1775</v>
      </c>
      <c r="D12" s="44">
        <f>SD_Pois</f>
        <v>40.06245124802026</v>
      </c>
      <c r="E12" s="50" cm="1">
        <f t="array" aca="1" ref="E12" ca="1">_xll.VoseSimStdev(TotPois)</f>
        <v>40.46959071361178</v>
      </c>
      <c r="F12" s="50" cm="1">
        <f t="array" aca="1" ref="F12" ca="1">_xll.VoseSimPercentile(TotPois,0.1)</f>
        <v>1552</v>
      </c>
      <c r="G12" s="50" cm="1">
        <f t="array" aca="1" ref="G12" ca="1">_xll.VoseSimPercentile(TotPois,0.9)</f>
        <v>1656</v>
      </c>
    </row>
    <row r="13" spans="1:18" x14ac:dyDescent="0.45">
      <c r="B13" s="25" t="s">
        <v>112</v>
      </c>
      <c r="C13" s="50" cm="1">
        <f t="array" aca="1" ref="C13" ca="1">_xll.VoseSimMean(TotPolW)</f>
        <v>1603.3580999999999</v>
      </c>
      <c r="D13" s="44">
        <f>SD_PolW</f>
        <v>131.09576652203532</v>
      </c>
      <c r="E13" s="50" cm="1">
        <f t="array" aca="1" ref="E13" ca="1">_xll.VoseSimStdev(TotPolW)</f>
        <v>131.60394988127445</v>
      </c>
      <c r="F13" s="50" cm="1">
        <f t="array" aca="1" ref="F13" ca="1">_xll.VoseSimPercentile(TotPolW,0.1)</f>
        <v>1436</v>
      </c>
      <c r="G13" s="50" cm="1">
        <f t="array" aca="1" ref="G13" ca="1">_xll.VoseSimPercentile(TotPolW,0.9)</f>
        <v>1775</v>
      </c>
    </row>
    <row r="14" spans="1:18" x14ac:dyDescent="0.45">
      <c r="B14" s="36" t="s">
        <v>113</v>
      </c>
      <c r="C14" s="50" cm="1">
        <f t="array" aca="1" ref="C14" ca="1">_xll.VoseSimMean(TotPolS)</f>
        <v>1592.8498</v>
      </c>
      <c r="D14" s="44">
        <f>SD_PolS</f>
        <v>880.00710224406714</v>
      </c>
      <c r="E14" s="50" cm="1">
        <f t="array" aca="1" ref="E14" ca="1">_xll.VoseSimStdev(TotPolS)</f>
        <v>873.13965110112406</v>
      </c>
      <c r="F14" s="50" cm="1">
        <f t="array" aca="1" ref="F14" ca="1">_xll.VoseSimPercentile(TotPolS,0.1)</f>
        <v>612</v>
      </c>
      <c r="G14" s="50" cm="1">
        <f t="array" aca="1" ref="G14" ca="1">_xll.VoseSimPercentile(TotPolS,0.9)</f>
        <v>2722</v>
      </c>
    </row>
    <row r="15" spans="1:18" ht="18" customHeight="1" x14ac:dyDescent="0.45">
      <c r="B15" s="23" t="s">
        <v>152</v>
      </c>
      <c r="C15" s="23" t="s">
        <v>88</v>
      </c>
      <c r="D15" s="24" t="s">
        <v>124</v>
      </c>
      <c r="E15" s="5"/>
      <c r="F15" s="5"/>
      <c r="G15" s="5"/>
    </row>
    <row r="16" spans="1:18" x14ac:dyDescent="0.45">
      <c r="B16" s="51" t="s">
        <v>153</v>
      </c>
      <c r="C16" s="26" t="s">
        <v>93</v>
      </c>
      <c r="D16" s="44">
        <f>ExpTotal</f>
        <v>1605</v>
      </c>
      <c r="E16" s="28"/>
      <c r="F16" s="28"/>
      <c r="G16" s="28"/>
    </row>
    <row r="17" spans="2:18" ht="8" customHeight="1" x14ac:dyDescent="0.45"/>
    <row r="25" spans="2:18" ht="22.05" customHeight="1" x14ac:dyDescent="0.5">
      <c r="B25" s="7" t="s">
        <v>154</v>
      </c>
      <c r="C25" s="8"/>
      <c r="D25" s="8"/>
      <c r="E25" s="8"/>
      <c r="F25" s="8"/>
      <c r="G25" s="8"/>
      <c r="I25" s="49" t="s">
        <v>155</v>
      </c>
      <c r="J25" s="8"/>
      <c r="K25" s="8"/>
      <c r="L25" s="8"/>
      <c r="M25" s="8"/>
      <c r="N25" s="8"/>
      <c r="O25" s="8"/>
      <c r="P25" s="8"/>
      <c r="Q25" s="8"/>
      <c r="R25" s="8"/>
    </row>
    <row r="26" spans="2:18" ht="18" customHeight="1" x14ac:dyDescent="0.45">
      <c r="B26" s="13" t="s">
        <v>156</v>
      </c>
    </row>
    <row r="27" spans="2:18" ht="19.05" customHeight="1" x14ac:dyDescent="0.45">
      <c r="B27" s="57" t="s">
        <v>157</v>
      </c>
      <c r="C27" s="56"/>
      <c r="D27" s="56"/>
      <c r="E27" s="56"/>
      <c r="F27" s="56"/>
      <c r="G27" s="56"/>
    </row>
    <row r="28" spans="2:18" ht="32" customHeight="1" x14ac:dyDescent="0.45">
      <c r="B28" s="57" t="s">
        <v>158</v>
      </c>
      <c r="C28" s="56"/>
      <c r="D28" s="56"/>
      <c r="E28" s="56"/>
      <c r="F28" s="56"/>
      <c r="G28" s="56"/>
    </row>
    <row r="29" spans="2:18" ht="32" customHeight="1" x14ac:dyDescent="0.45">
      <c r="B29" s="57" t="s">
        <v>159</v>
      </c>
      <c r="C29" s="56"/>
      <c r="D29" s="56"/>
      <c r="E29" s="56"/>
      <c r="F29" s="56"/>
      <c r="G29" s="56"/>
    </row>
    <row r="30" spans="2:18" ht="45" customHeight="1" x14ac:dyDescent="0.45">
      <c r="B30" s="57" t="s">
        <v>160</v>
      </c>
      <c r="C30" s="56"/>
      <c r="D30" s="56"/>
      <c r="E30" s="56"/>
      <c r="F30" s="56"/>
      <c r="G30" s="56"/>
    </row>
    <row r="31" spans="2:18" ht="19.05" customHeight="1" x14ac:dyDescent="0.45">
      <c r="B31" s="57" t="s">
        <v>161</v>
      </c>
      <c r="C31" s="56"/>
      <c r="D31" s="56"/>
      <c r="E31" s="56"/>
      <c r="F31" s="56"/>
      <c r="G31" s="56"/>
    </row>
    <row r="32" spans="2:18" ht="14" customHeight="1" x14ac:dyDescent="0.45"/>
    <row r="41" spans="9:18" x14ac:dyDescent="0.45">
      <c r="I41" s="49" t="s">
        <v>162</v>
      </c>
      <c r="J41" s="8"/>
      <c r="K41" s="8"/>
      <c r="L41" s="8"/>
      <c r="M41" s="8"/>
      <c r="N41" s="8"/>
      <c r="O41" s="8"/>
      <c r="P41" s="8"/>
      <c r="Q41" s="8"/>
      <c r="R41" s="8"/>
    </row>
    <row r="57" spans="2:7" ht="14" customHeight="1" x14ac:dyDescent="0.45"/>
    <row r="58" spans="2:7" ht="22.05" customHeight="1" x14ac:dyDescent="0.5">
      <c r="B58" s="7" t="s">
        <v>163</v>
      </c>
      <c r="C58" s="8"/>
      <c r="D58" s="8"/>
      <c r="E58" s="8"/>
      <c r="F58" s="8"/>
      <c r="G58" s="8"/>
    </row>
    <row r="59" spans="2:7" ht="18" customHeight="1" x14ac:dyDescent="0.45">
      <c r="B59" s="13" t="s">
        <v>164</v>
      </c>
    </row>
    <row r="60" spans="2:7" ht="28.05" hidden="1" customHeight="1" outlineLevel="1" x14ac:dyDescent="0.45">
      <c r="B60" s="24" t="s">
        <v>165</v>
      </c>
      <c r="C60" s="24" t="s">
        <v>166</v>
      </c>
      <c r="D60" s="24" t="s">
        <v>167</v>
      </c>
      <c r="E60" s="24" t="s">
        <v>168</v>
      </c>
      <c r="F60" s="24" t="s">
        <v>169</v>
      </c>
      <c r="G60" s="5"/>
    </row>
    <row r="61" spans="2:7" hidden="1" outlineLevel="1" x14ac:dyDescent="0.45">
      <c r="B61" s="52">
        <v>0.01</v>
      </c>
      <c r="C61" s="52">
        <f t="shared" ref="C61:C92" si="0">1-B61</f>
        <v>0.99</v>
      </c>
      <c r="D61" s="53" cm="1">
        <f t="array" aca="1" ref="D61" ca="1">IF(ISNUMBER(_xll.VoseSimPercentile(TotPois,$B61)),_xll.VoseSimPercentile(TotPois,$B61),NA())</f>
        <v>1509</v>
      </c>
      <c r="E61" s="53" cm="1">
        <f t="array" aca="1" ref="E61" ca="1">IF(ISNUMBER(_xll.VoseSimPercentile(TotPolW,$B61)),_xll.VoseSimPercentile(TotPolW,$B61),NA())</f>
        <v>1312</v>
      </c>
      <c r="F61" s="53" cm="1">
        <f t="array" aca="1" ref="F61" ca="1">IF(ISNUMBER(_xll.VoseSimPercentile(TotPolS,$B61)),_xll.VoseSimPercentile(TotPolS,$B61),NA())</f>
        <v>259</v>
      </c>
    </row>
    <row r="62" spans="2:7" hidden="1" outlineLevel="1" x14ac:dyDescent="0.45">
      <c r="B62" s="52">
        <v>0.03</v>
      </c>
      <c r="C62" s="52">
        <f t="shared" si="0"/>
        <v>0.97</v>
      </c>
      <c r="D62" s="53" cm="1">
        <f t="array" aca="1" ref="D62" ca="1">IF(ISNUMBER(_xll.VoseSimPercentile(TotPois,$B62)),_xll.VoseSimPercentile(TotPois,$B62),NA())</f>
        <v>1529</v>
      </c>
      <c r="E62" s="53" cm="1">
        <f t="array" aca="1" ref="E62" ca="1">IF(ISNUMBER(_xll.VoseSimPercentile(TotPolW,$B62)),_xll.VoseSimPercentile(TotPolW,$B62),NA())</f>
        <v>1364</v>
      </c>
      <c r="F62" s="53" cm="1">
        <f t="array" aca="1" ref="F62" ca="1">IF(ISNUMBER(_xll.VoseSimPercentile(TotPolS,$B62)),_xll.VoseSimPercentile(TotPolS,$B62),NA())</f>
        <v>383</v>
      </c>
    </row>
    <row r="63" spans="2:7" hidden="1" outlineLevel="1" x14ac:dyDescent="0.45">
      <c r="B63" s="52">
        <v>0.05</v>
      </c>
      <c r="C63" s="52">
        <f t="shared" si="0"/>
        <v>0.95</v>
      </c>
      <c r="D63" s="53" cm="1">
        <f t="array" aca="1" ref="D63" ca="1">IF(ISNUMBER(_xll.VoseSimPercentile(TotPois,$B63)),_xll.VoseSimPercentile(TotPois,$B63),NA())</f>
        <v>1538</v>
      </c>
      <c r="E63" s="53" cm="1">
        <f t="array" aca="1" ref="E63" ca="1">IF(ISNUMBER(_xll.VoseSimPercentile(TotPolW,$B63)),_xll.VoseSimPercentile(TotPolW,$B63),NA())</f>
        <v>1393</v>
      </c>
      <c r="F63" s="53" cm="1">
        <f t="array" aca="1" ref="F63" ca="1">IF(ISNUMBER(_xll.VoseSimPercentile(TotPolS,$B63)),_xll.VoseSimPercentile(TotPolS,$B63),NA())</f>
        <v>456</v>
      </c>
    </row>
    <row r="64" spans="2:7" hidden="1" outlineLevel="1" x14ac:dyDescent="0.45">
      <c r="B64" s="52">
        <v>7.0000000000000007E-2</v>
      </c>
      <c r="C64" s="52">
        <f t="shared" si="0"/>
        <v>0.92999999999999994</v>
      </c>
      <c r="D64" s="53" cm="1">
        <f t="array" aca="1" ref="D64" ca="1">IF(ISNUMBER(_xll.VoseSimPercentile(TotPois,$B64)),_xll.VoseSimPercentile(TotPois,$B64),NA())</f>
        <v>1544</v>
      </c>
      <c r="E64" s="53" cm="1">
        <f t="array" aca="1" ref="E64" ca="1">IF(ISNUMBER(_xll.VoseSimPercentile(TotPolW,$B64)),_xll.VoseSimPercentile(TotPolW,$B64),NA())</f>
        <v>1413</v>
      </c>
      <c r="F64" s="53" cm="1">
        <f t="array" aca="1" ref="F64" ca="1">IF(ISNUMBER(_xll.VoseSimPercentile(TotPolS,$B64)),_xll.VoseSimPercentile(TotPolS,$B64),NA())</f>
        <v>521</v>
      </c>
    </row>
    <row r="65" spans="2:6" hidden="1" outlineLevel="1" x14ac:dyDescent="0.45">
      <c r="B65" s="52">
        <v>0.09</v>
      </c>
      <c r="C65" s="52">
        <f t="shared" si="0"/>
        <v>0.91</v>
      </c>
      <c r="D65" s="53" cm="1">
        <f t="array" aca="1" ref="D65" ca="1">IF(ISNUMBER(_xll.VoseSimPercentile(TotPois,$B65)),_xll.VoseSimPercentile(TotPois,$B65),NA())</f>
        <v>1550</v>
      </c>
      <c r="E65" s="53" cm="1">
        <f t="array" aca="1" ref="E65" ca="1">IF(ISNUMBER(_xll.VoseSimPercentile(TotPolW,$B65)),_xll.VoseSimPercentile(TotPolW,$B65),NA())</f>
        <v>1430</v>
      </c>
      <c r="F65" s="53" cm="1">
        <f t="array" aca="1" ref="F65" ca="1">IF(ISNUMBER(_xll.VoseSimPercentile(TotPolS,$B65)),_xll.VoseSimPercentile(TotPolS,$B65),NA())</f>
        <v>585</v>
      </c>
    </row>
    <row r="66" spans="2:6" hidden="1" outlineLevel="1" x14ac:dyDescent="0.45">
      <c r="B66" s="52">
        <v>0.11</v>
      </c>
      <c r="C66" s="52">
        <f t="shared" si="0"/>
        <v>0.89</v>
      </c>
      <c r="D66" s="53" cm="1">
        <f t="array" aca="1" ref="D66" ca="1">IF(ISNUMBER(_xll.VoseSimPercentile(TotPois,$B66)),_xll.VoseSimPercentile(TotPois,$B66),NA())</f>
        <v>1554</v>
      </c>
      <c r="E66" s="53" cm="1">
        <f t="array" aca="1" ref="E66" ca="1">IF(ISNUMBER(_xll.VoseSimPercentile(TotPolW,$B66)),_xll.VoseSimPercentile(TotPolW,$B66),NA())</f>
        <v>1442</v>
      </c>
      <c r="F66" s="53" cm="1">
        <f t="array" aca="1" ref="F66" ca="1">IF(ISNUMBER(_xll.VoseSimPercentile(TotPolS,$B66)),_xll.VoseSimPercentile(TotPolS,$B66),NA())</f>
        <v>639</v>
      </c>
    </row>
    <row r="67" spans="2:6" hidden="1" outlineLevel="1" x14ac:dyDescent="0.45">
      <c r="B67" s="52">
        <v>0.13</v>
      </c>
      <c r="C67" s="52">
        <f t="shared" si="0"/>
        <v>0.87</v>
      </c>
      <c r="D67" s="53" cm="1">
        <f t="array" aca="1" ref="D67" ca="1">IF(ISNUMBER(_xll.VoseSimPercentile(TotPois,$B67)),_xll.VoseSimPercentile(TotPois,$B67),NA())</f>
        <v>1559</v>
      </c>
      <c r="E67" s="53" cm="1">
        <f t="array" aca="1" ref="E67" ca="1">IF(ISNUMBER(_xll.VoseSimPercentile(TotPolW,$B67)),_xll.VoseSimPercentile(TotPolW,$B67),NA())</f>
        <v>1455</v>
      </c>
      <c r="F67" s="53" cm="1">
        <f t="array" aca="1" ref="F67" ca="1">IF(ISNUMBER(_xll.VoseSimPercentile(TotPolS,$B67)),_xll.VoseSimPercentile(TotPolS,$B67),NA())</f>
        <v>697</v>
      </c>
    </row>
    <row r="68" spans="2:6" hidden="1" outlineLevel="1" x14ac:dyDescent="0.45">
      <c r="B68" s="52">
        <v>0.15</v>
      </c>
      <c r="C68" s="52">
        <f t="shared" si="0"/>
        <v>0.85</v>
      </c>
      <c r="D68" s="53" cm="1">
        <f t="array" aca="1" ref="D68" ca="1">IF(ISNUMBER(_xll.VoseSimPercentile(TotPois,$B68)),_xll.VoseSimPercentile(TotPois,$B68),NA())</f>
        <v>1563</v>
      </c>
      <c r="E68" s="53" cm="1">
        <f t="array" aca="1" ref="E68" ca="1">IF(ISNUMBER(_xll.VoseSimPercentile(TotPolW,$B68)),_xll.VoseSimPercentile(TotPolW,$B68),NA())</f>
        <v>1467</v>
      </c>
      <c r="F68" s="53" cm="1">
        <f t="array" aca="1" ref="F68" ca="1">IF(ISNUMBER(_xll.VoseSimPercentile(TotPolS,$B68)),_xll.VoseSimPercentile(TotPolS,$B68),NA())</f>
        <v>752</v>
      </c>
    </row>
    <row r="69" spans="2:6" hidden="1" outlineLevel="1" x14ac:dyDescent="0.45">
      <c r="B69" s="52">
        <v>0.17</v>
      </c>
      <c r="C69" s="52">
        <f t="shared" si="0"/>
        <v>0.83</v>
      </c>
      <c r="D69" s="53" cm="1">
        <f t="array" aca="1" ref="D69" ca="1">IF(ISNUMBER(_xll.VoseSimPercentile(TotPois,$B69)),_xll.VoseSimPercentile(TotPois,$B69),NA())</f>
        <v>1566</v>
      </c>
      <c r="E69" s="53" cm="1">
        <f t="array" aca="1" ref="E69" ca="1">IF(ISNUMBER(_xll.VoseSimPercentile(TotPolW,$B69)),_xll.VoseSimPercentile(TotPolW,$B69),NA())</f>
        <v>1477</v>
      </c>
      <c r="F69" s="53" cm="1">
        <f t="array" aca="1" ref="F69" ca="1">IF(ISNUMBER(_xll.VoseSimPercentile(TotPolS,$B69)),_xll.VoseSimPercentile(TotPolS,$B69),NA())</f>
        <v>799</v>
      </c>
    </row>
    <row r="70" spans="2:6" hidden="1" outlineLevel="1" x14ac:dyDescent="0.45">
      <c r="B70" s="52">
        <v>0.19</v>
      </c>
      <c r="C70" s="52">
        <f t="shared" si="0"/>
        <v>0.81</v>
      </c>
      <c r="D70" s="53" cm="1">
        <f t="array" aca="1" ref="D70" ca="1">IF(ISNUMBER(_xll.VoseSimPercentile(TotPois,$B70)),_xll.VoseSimPercentile(TotPois,$B70),NA())</f>
        <v>1569</v>
      </c>
      <c r="E70" s="53" cm="1">
        <f t="array" aca="1" ref="E70" ca="1">IF(ISNUMBER(_xll.VoseSimPercentile(TotPolW,$B70)),_xll.VoseSimPercentile(TotPolW,$B70),NA())</f>
        <v>1487</v>
      </c>
      <c r="F70" s="53" cm="1">
        <f t="array" aca="1" ref="F70" ca="1">IF(ISNUMBER(_xll.VoseSimPercentile(TotPolS,$B70)),_xll.VoseSimPercentile(TotPolS,$B70),NA())</f>
        <v>844</v>
      </c>
    </row>
    <row r="71" spans="2:6" hidden="1" outlineLevel="1" x14ac:dyDescent="0.45">
      <c r="B71" s="52">
        <v>0.21</v>
      </c>
      <c r="C71" s="52">
        <f t="shared" si="0"/>
        <v>0.79</v>
      </c>
      <c r="D71" s="53" cm="1">
        <f t="array" aca="1" ref="D71" ca="1">IF(ISNUMBER(_xll.VoseSimPercentile(TotPois,$B71)),_xll.VoseSimPercentile(TotPois,$B71),NA())</f>
        <v>1572</v>
      </c>
      <c r="E71" s="53" cm="1">
        <f t="array" aca="1" ref="E71" ca="1">IF(ISNUMBER(_xll.VoseSimPercentile(TotPolW,$B71)),_xll.VoseSimPercentile(TotPolW,$B71),NA())</f>
        <v>1497</v>
      </c>
      <c r="F71" s="53" cm="1">
        <f t="array" aca="1" ref="F71" ca="1">IF(ISNUMBER(_xll.VoseSimPercentile(TotPolS,$B71)),_xll.VoseSimPercentile(TotPolS,$B71),NA())</f>
        <v>887</v>
      </c>
    </row>
    <row r="72" spans="2:6" hidden="1" outlineLevel="1" x14ac:dyDescent="0.45">
      <c r="B72" s="52">
        <v>0.23</v>
      </c>
      <c r="C72" s="52">
        <f t="shared" si="0"/>
        <v>0.77</v>
      </c>
      <c r="D72" s="53" cm="1">
        <f t="array" aca="1" ref="D72" ca="1">IF(ISNUMBER(_xll.VoseSimPercentile(TotPois,$B72)),_xll.VoseSimPercentile(TotPois,$B72),NA())</f>
        <v>1574</v>
      </c>
      <c r="E72" s="53" cm="1">
        <f t="array" aca="1" ref="E72" ca="1">IF(ISNUMBER(_xll.VoseSimPercentile(TotPolW,$B72)),_xll.VoseSimPercentile(TotPolW,$B72),NA())</f>
        <v>1506</v>
      </c>
      <c r="F72" s="53" cm="1">
        <f t="array" aca="1" ref="F72" ca="1">IF(ISNUMBER(_xll.VoseSimPercentile(TotPolS,$B72)),_xll.VoseSimPercentile(TotPolS,$B72),NA())</f>
        <v>928</v>
      </c>
    </row>
    <row r="73" spans="2:6" hidden="1" outlineLevel="1" x14ac:dyDescent="0.45">
      <c r="B73" s="52">
        <v>0.25</v>
      </c>
      <c r="C73" s="52">
        <f t="shared" si="0"/>
        <v>0.75</v>
      </c>
      <c r="D73" s="53" cm="1">
        <f t="array" aca="1" ref="D73" ca="1">IF(ISNUMBER(_xll.VoseSimPercentile(TotPois,$B73)),_xll.VoseSimPercentile(TotPois,$B73),NA())</f>
        <v>1577</v>
      </c>
      <c r="E73" s="53" cm="1">
        <f t="array" aca="1" ref="E73" ca="1">IF(ISNUMBER(_xll.VoseSimPercentile(TotPolW,$B73)),_xll.VoseSimPercentile(TotPolW,$B73),NA())</f>
        <v>1514</v>
      </c>
      <c r="F73" s="53" cm="1">
        <f t="array" aca="1" ref="F73" ca="1">IF(ISNUMBER(_xll.VoseSimPercentile(TotPolS,$B73)),_xll.VoseSimPercentile(TotPolS,$B73),NA())</f>
        <v>969</v>
      </c>
    </row>
    <row r="74" spans="2:6" hidden="1" outlineLevel="1" x14ac:dyDescent="0.45">
      <c r="B74" s="52">
        <v>0.27</v>
      </c>
      <c r="C74" s="52">
        <f t="shared" si="0"/>
        <v>0.73</v>
      </c>
      <c r="D74" s="53" cm="1">
        <f t="array" aca="1" ref="D74" ca="1">IF(ISNUMBER(_xll.VoseSimPercentile(TotPois,$B74)),_xll.VoseSimPercentile(TotPois,$B74),NA())</f>
        <v>1580</v>
      </c>
      <c r="E74" s="53" cm="1">
        <f t="array" aca="1" ref="E74" ca="1">IF(ISNUMBER(_xll.VoseSimPercentile(TotPolW,$B74)),_xll.VoseSimPercentile(TotPolW,$B74),NA())</f>
        <v>1521</v>
      </c>
      <c r="F74" s="53" cm="1">
        <f t="array" aca="1" ref="F74" ca="1">IF(ISNUMBER(_xll.VoseSimPercentile(TotPolS,$B74)),_xll.VoseSimPercentile(TotPolS,$B74),NA())</f>
        <v>1006</v>
      </c>
    </row>
    <row r="75" spans="2:6" hidden="1" outlineLevel="1" x14ac:dyDescent="0.45">
      <c r="B75" s="52">
        <v>0.28999999999999998</v>
      </c>
      <c r="C75" s="52">
        <f t="shared" si="0"/>
        <v>0.71</v>
      </c>
      <c r="D75" s="53" cm="1">
        <f t="array" aca="1" ref="D75" ca="1">IF(ISNUMBER(_xll.VoseSimPercentile(TotPois,$B75)),_xll.VoseSimPercentile(TotPois,$B75),NA())</f>
        <v>1582</v>
      </c>
      <c r="E75" s="53" cm="1">
        <f t="array" aca="1" ref="E75" ca="1">IF(ISNUMBER(_xll.VoseSimPercentile(TotPolW,$B75)),_xll.VoseSimPercentile(TotPolW,$B75),NA())</f>
        <v>1529</v>
      </c>
      <c r="F75" s="53" cm="1">
        <f t="array" aca="1" ref="F75" ca="1">IF(ISNUMBER(_xll.VoseSimPercentile(TotPolS,$B75)),_xll.VoseSimPercentile(TotPolS,$B75),NA())</f>
        <v>1044</v>
      </c>
    </row>
    <row r="76" spans="2:6" hidden="1" outlineLevel="1" x14ac:dyDescent="0.45">
      <c r="B76" s="52">
        <v>0.31</v>
      </c>
      <c r="C76" s="52">
        <f t="shared" si="0"/>
        <v>0.69</v>
      </c>
      <c r="D76" s="53" cm="1">
        <f t="array" aca="1" ref="D76" ca="1">IF(ISNUMBER(_xll.VoseSimPercentile(TotPois,$B76)),_xll.VoseSimPercentile(TotPois,$B76),NA())</f>
        <v>1584</v>
      </c>
      <c r="E76" s="53" cm="1">
        <f t="array" aca="1" ref="E76" ca="1">IF(ISNUMBER(_xll.VoseSimPercentile(TotPolW,$B76)),_xll.VoseSimPercentile(TotPolW,$B76),NA())</f>
        <v>1535</v>
      </c>
      <c r="F76" s="53" cm="1">
        <f t="array" aca="1" ref="F76" ca="1">IF(ISNUMBER(_xll.VoseSimPercentile(TotPolS,$B76)),_xll.VoseSimPercentile(TotPolS,$B76),NA())</f>
        <v>1077</v>
      </c>
    </row>
    <row r="77" spans="2:6" hidden="1" outlineLevel="1" x14ac:dyDescent="0.45">
      <c r="B77" s="52">
        <v>0.33</v>
      </c>
      <c r="C77" s="52">
        <f t="shared" si="0"/>
        <v>0.66999999999999993</v>
      </c>
      <c r="D77" s="53" cm="1">
        <f t="array" aca="1" ref="D77" ca="1">IF(ISNUMBER(_xll.VoseSimPercentile(TotPois,$B77)),_xll.VoseSimPercentile(TotPois,$B77),NA())</f>
        <v>1586</v>
      </c>
      <c r="E77" s="53" cm="1">
        <f t="array" aca="1" ref="E77" ca="1">IF(ISNUMBER(_xll.VoseSimPercentile(TotPolW,$B77)),_xll.VoseSimPercentile(TotPolW,$B77),NA())</f>
        <v>1543</v>
      </c>
      <c r="F77" s="53" cm="1">
        <f t="array" aca="1" ref="F77" ca="1">IF(ISNUMBER(_xll.VoseSimPercentile(TotPolS,$B77)),_xll.VoseSimPercentile(TotPolS,$B77),NA())</f>
        <v>1112</v>
      </c>
    </row>
    <row r="78" spans="2:6" hidden="1" outlineLevel="1" x14ac:dyDescent="0.45">
      <c r="B78" s="52">
        <v>0.35</v>
      </c>
      <c r="C78" s="52">
        <f t="shared" si="0"/>
        <v>0.65</v>
      </c>
      <c r="D78" s="53" cm="1">
        <f t="array" aca="1" ref="D78" ca="1">IF(ISNUMBER(_xll.VoseSimPercentile(TotPois,$B78)),_xll.VoseSimPercentile(TotPois,$B78),NA())</f>
        <v>1588</v>
      </c>
      <c r="E78" s="53" cm="1">
        <f t="array" aca="1" ref="E78" ca="1">IF(ISNUMBER(_xll.VoseSimPercentile(TotPolW,$B78)),_xll.VoseSimPercentile(TotPolW,$B78),NA())</f>
        <v>1551</v>
      </c>
      <c r="F78" s="53" cm="1">
        <f t="array" aca="1" ref="F78" ca="1">IF(ISNUMBER(_xll.VoseSimPercentile(TotPolS,$B78)),_xll.VoseSimPercentile(TotPolS,$B78),NA())</f>
        <v>1152</v>
      </c>
    </row>
    <row r="79" spans="2:6" hidden="1" outlineLevel="1" x14ac:dyDescent="0.45">
      <c r="B79" s="52">
        <v>0.37</v>
      </c>
      <c r="C79" s="52">
        <f t="shared" si="0"/>
        <v>0.63</v>
      </c>
      <c r="D79" s="53" cm="1">
        <f t="array" aca="1" ref="D79" ca="1">IF(ISNUMBER(_xll.VoseSimPercentile(TotPois,$B79)),_xll.VoseSimPercentile(TotPois,$B79),NA())</f>
        <v>1590</v>
      </c>
      <c r="E79" s="53" cm="1">
        <f t="array" aca="1" ref="E79" ca="1">IF(ISNUMBER(_xll.VoseSimPercentile(TotPolW,$B79)),_xll.VoseSimPercentile(TotPolW,$B79),NA())</f>
        <v>1557</v>
      </c>
      <c r="F79" s="53" cm="1">
        <f t="array" aca="1" ref="F79" ca="1">IF(ISNUMBER(_xll.VoseSimPercentile(TotPolS,$B79)),_xll.VoseSimPercentile(TotPolS,$B79),NA())</f>
        <v>1191</v>
      </c>
    </row>
    <row r="80" spans="2:6" hidden="1" outlineLevel="1" x14ac:dyDescent="0.45">
      <c r="B80" s="52">
        <v>0.39</v>
      </c>
      <c r="C80" s="52">
        <f t="shared" si="0"/>
        <v>0.61</v>
      </c>
      <c r="D80" s="53" cm="1">
        <f t="array" aca="1" ref="D80" ca="1">IF(ISNUMBER(_xll.VoseSimPercentile(TotPois,$B80)),_xll.VoseSimPercentile(TotPois,$B80),NA())</f>
        <v>1593</v>
      </c>
      <c r="E80" s="53" cm="1">
        <f t="array" aca="1" ref="E80" ca="1">IF(ISNUMBER(_xll.VoseSimPercentile(TotPolW,$B80)),_xll.VoseSimPercentile(TotPolW,$B80),NA())</f>
        <v>1564</v>
      </c>
      <c r="F80" s="53" cm="1">
        <f t="array" aca="1" ref="F80" ca="1">IF(ISNUMBER(_xll.VoseSimPercentile(TotPolS,$B80)),_xll.VoseSimPercentile(TotPolS,$B80),NA())</f>
        <v>1229</v>
      </c>
    </row>
    <row r="81" spans="2:6" hidden="1" outlineLevel="1" x14ac:dyDescent="0.45">
      <c r="B81" s="52">
        <v>0.41</v>
      </c>
      <c r="C81" s="52">
        <f t="shared" si="0"/>
        <v>0.59000000000000008</v>
      </c>
      <c r="D81" s="53" cm="1">
        <f t="array" aca="1" ref="D81" ca="1">IF(ISNUMBER(_xll.VoseSimPercentile(TotPois,$B81)),_xll.VoseSimPercentile(TotPois,$B81),NA())</f>
        <v>1595</v>
      </c>
      <c r="E81" s="53" cm="1">
        <f t="array" aca="1" ref="E81" ca="1">IF(ISNUMBER(_xll.VoseSimPercentile(TotPolW,$B81)),_xll.VoseSimPercentile(TotPolW,$B81),NA())</f>
        <v>1570</v>
      </c>
      <c r="F81" s="53" cm="1">
        <f t="array" aca="1" ref="F81" ca="1">IF(ISNUMBER(_xll.VoseSimPercentile(TotPolS,$B81)),_xll.VoseSimPercentile(TotPolS,$B81),NA())</f>
        <v>1271</v>
      </c>
    </row>
    <row r="82" spans="2:6" hidden="1" outlineLevel="1" x14ac:dyDescent="0.45">
      <c r="B82" s="52">
        <v>0.43</v>
      </c>
      <c r="C82" s="52">
        <f t="shared" si="0"/>
        <v>0.57000000000000006</v>
      </c>
      <c r="D82" s="53" cm="1">
        <f t="array" aca="1" ref="D82" ca="1">IF(ISNUMBER(_xll.VoseSimPercentile(TotPois,$B82)),_xll.VoseSimPercentile(TotPois,$B82),NA())</f>
        <v>1596</v>
      </c>
      <c r="E82" s="53" cm="1">
        <f t="array" aca="1" ref="E82" ca="1">IF(ISNUMBER(_xll.VoseSimPercentile(TotPolW,$B82)),_xll.VoseSimPercentile(TotPolW,$B82),NA())</f>
        <v>1576</v>
      </c>
      <c r="F82" s="53" cm="1">
        <f t="array" aca="1" ref="F82" ca="1">IF(ISNUMBER(_xll.VoseSimPercentile(TotPolS,$B82)),_xll.VoseSimPercentile(TotPolS,$B82),NA())</f>
        <v>1307</v>
      </c>
    </row>
    <row r="83" spans="2:6" hidden="1" outlineLevel="1" x14ac:dyDescent="0.45">
      <c r="B83" s="52">
        <v>0.45</v>
      </c>
      <c r="C83" s="52">
        <f t="shared" si="0"/>
        <v>0.55000000000000004</v>
      </c>
      <c r="D83" s="53" cm="1">
        <f t="array" aca="1" ref="D83" ca="1">IF(ISNUMBER(_xll.VoseSimPercentile(TotPois,$B83)),_xll.VoseSimPercentile(TotPois,$B83),NA())</f>
        <v>1598</v>
      </c>
      <c r="E83" s="53" cm="1">
        <f t="array" aca="1" ref="E83" ca="1">IF(ISNUMBER(_xll.VoseSimPercentile(TotPolW,$B83)),_xll.VoseSimPercentile(TotPolW,$B83),NA())</f>
        <v>1583</v>
      </c>
      <c r="F83" s="53" cm="1">
        <f t="array" aca="1" ref="F83" ca="1">IF(ISNUMBER(_xll.VoseSimPercentile(TotPolS,$B83)),_xll.VoseSimPercentile(TotPolS,$B83),NA())</f>
        <v>1344</v>
      </c>
    </row>
    <row r="84" spans="2:6" hidden="1" outlineLevel="1" x14ac:dyDescent="0.45">
      <c r="B84" s="52">
        <v>0.47</v>
      </c>
      <c r="C84" s="52">
        <f t="shared" si="0"/>
        <v>0.53</v>
      </c>
      <c r="D84" s="53" cm="1">
        <f t="array" aca="1" ref="D84" ca="1">IF(ISNUMBER(_xll.VoseSimPercentile(TotPois,$B84)),_xll.VoseSimPercentile(TotPois,$B84),NA())</f>
        <v>1600</v>
      </c>
      <c r="E84" s="53" cm="1">
        <f t="array" aca="1" ref="E84" ca="1">IF(ISNUMBER(_xll.VoseSimPercentile(TotPolW,$B84)),_xll.VoseSimPercentile(TotPolW,$B84),NA())</f>
        <v>1589</v>
      </c>
      <c r="F84" s="53" cm="1">
        <f t="array" aca="1" ref="F84" ca="1">IF(ISNUMBER(_xll.VoseSimPercentile(TotPolS,$B84)),_xll.VoseSimPercentile(TotPolS,$B84),NA())</f>
        <v>1380</v>
      </c>
    </row>
    <row r="85" spans="2:6" hidden="1" outlineLevel="1" x14ac:dyDescent="0.45">
      <c r="B85" s="52">
        <v>0.49</v>
      </c>
      <c r="C85" s="52">
        <f t="shared" si="0"/>
        <v>0.51</v>
      </c>
      <c r="D85" s="53" cm="1">
        <f t="array" aca="1" ref="D85" ca="1">IF(ISNUMBER(_xll.VoseSimPercentile(TotPois,$B85)),_xll.VoseSimPercentile(TotPois,$B85),NA())</f>
        <v>1602</v>
      </c>
      <c r="E85" s="53" cm="1">
        <f t="array" aca="1" ref="E85" ca="1">IF(ISNUMBER(_xll.VoseSimPercentile(TotPolW,$B85)),_xll.VoseSimPercentile(TotPolW,$B85),NA())</f>
        <v>1596</v>
      </c>
      <c r="F85" s="53" cm="1">
        <f t="array" aca="1" ref="F85" ca="1">IF(ISNUMBER(_xll.VoseSimPercentile(TotPolS,$B85)),_xll.VoseSimPercentile(TotPolS,$B85),NA())</f>
        <v>1421</v>
      </c>
    </row>
    <row r="86" spans="2:6" hidden="1" outlineLevel="1" x14ac:dyDescent="0.45">
      <c r="B86" s="52">
        <v>0.51</v>
      </c>
      <c r="C86" s="52">
        <f t="shared" si="0"/>
        <v>0.49</v>
      </c>
      <c r="D86" s="53" cm="1">
        <f t="array" aca="1" ref="D86" ca="1">IF(ISNUMBER(_xll.VoseSimPercentile(TotPois,$B86)),_xll.VoseSimPercentile(TotPois,$B86),NA())</f>
        <v>1605</v>
      </c>
      <c r="E86" s="53" cm="1">
        <f t="array" aca="1" ref="E86" ca="1">IF(ISNUMBER(_xll.VoseSimPercentile(TotPolW,$B86)),_xll.VoseSimPercentile(TotPolW,$B86),NA())</f>
        <v>1603</v>
      </c>
      <c r="F86" s="53" cm="1">
        <f t="array" aca="1" ref="F86" ca="1">IF(ISNUMBER(_xll.VoseSimPercentile(TotPolS,$B86)),_xll.VoseSimPercentile(TotPolS,$B86),NA())</f>
        <v>1465</v>
      </c>
    </row>
    <row r="87" spans="2:6" hidden="1" outlineLevel="1" x14ac:dyDescent="0.45">
      <c r="B87" s="52">
        <v>0.53</v>
      </c>
      <c r="C87" s="52">
        <f t="shared" si="0"/>
        <v>0.47</v>
      </c>
      <c r="D87" s="53" cm="1">
        <f t="array" aca="1" ref="D87" ca="1">IF(ISNUMBER(_xll.VoseSimPercentile(TotPois,$B87)),_xll.VoseSimPercentile(TotPois,$B87),NA())</f>
        <v>1607</v>
      </c>
      <c r="E87" s="53" cm="1">
        <f t="array" aca="1" ref="E87" ca="1">IF(ISNUMBER(_xll.VoseSimPercentile(TotPolW,$B87)),_xll.VoseSimPercentile(TotPolW,$B87),NA())</f>
        <v>1609</v>
      </c>
      <c r="F87" s="53" cm="1">
        <f t="array" aca="1" ref="F87" ca="1">IF(ISNUMBER(_xll.VoseSimPercentile(TotPolS,$B87)),_xll.VoseSimPercentile(TotPolS,$B87),NA())</f>
        <v>1507</v>
      </c>
    </row>
    <row r="88" spans="2:6" hidden="1" outlineLevel="1" x14ac:dyDescent="0.45">
      <c r="B88" s="52">
        <v>0.55000000000000004</v>
      </c>
      <c r="C88" s="52">
        <f t="shared" si="0"/>
        <v>0.44999999999999996</v>
      </c>
      <c r="D88" s="53" cm="1">
        <f t="array" aca="1" ref="D88" ca="1">IF(ISNUMBER(_xll.VoseSimPercentile(TotPois,$B88)),_xll.VoseSimPercentile(TotPois,$B88),NA())</f>
        <v>1609</v>
      </c>
      <c r="E88" s="53" cm="1">
        <f t="array" aca="1" ref="E88" ca="1">IF(ISNUMBER(_xll.VoseSimPercentile(TotPolW,$B88)),_xll.VoseSimPercentile(TotPolW,$B88),NA())</f>
        <v>1616</v>
      </c>
      <c r="F88" s="53" cm="1">
        <f t="array" aca="1" ref="F88" ca="1">IF(ISNUMBER(_xll.VoseSimPercentile(TotPolS,$B88)),_xll.VoseSimPercentile(TotPolS,$B88),NA())</f>
        <v>1546</v>
      </c>
    </row>
    <row r="89" spans="2:6" hidden="1" outlineLevel="1" x14ac:dyDescent="0.45">
      <c r="B89" s="52">
        <v>0.56999999999999995</v>
      </c>
      <c r="C89" s="52">
        <f t="shared" si="0"/>
        <v>0.43000000000000005</v>
      </c>
      <c r="D89" s="53" cm="1">
        <f t="array" aca="1" ref="D89" ca="1">IF(ISNUMBER(_xll.VoseSimPercentile(TotPois,$B89)),_xll.VoseSimPercentile(TotPois,$B89),NA())</f>
        <v>1611</v>
      </c>
      <c r="E89" s="53" cm="1">
        <f t="array" aca="1" ref="E89" ca="1">IF(ISNUMBER(_xll.VoseSimPercentile(TotPolW,$B89)),_xll.VoseSimPercentile(TotPolW,$B89),NA())</f>
        <v>1623</v>
      </c>
      <c r="F89" s="53" cm="1">
        <f t="array" aca="1" ref="F89" ca="1">IF(ISNUMBER(_xll.VoseSimPercentile(TotPolS,$B89)),_xll.VoseSimPercentile(TotPolS,$B89),NA())</f>
        <v>1588</v>
      </c>
    </row>
    <row r="90" spans="2:6" hidden="1" outlineLevel="1" x14ac:dyDescent="0.45">
      <c r="B90" s="52">
        <v>0.59</v>
      </c>
      <c r="C90" s="52">
        <f t="shared" si="0"/>
        <v>0.41000000000000003</v>
      </c>
      <c r="D90" s="53" cm="1">
        <f t="array" aca="1" ref="D90" ca="1">IF(ISNUMBER(_xll.VoseSimPercentile(TotPois,$B90)),_xll.VoseSimPercentile(TotPois,$B90),NA())</f>
        <v>1614</v>
      </c>
      <c r="E90" s="53" cm="1">
        <f t="array" aca="1" ref="E90" ca="1">IF(ISNUMBER(_xll.VoseSimPercentile(TotPolW,$B90)),_xll.VoseSimPercentile(TotPolW,$B90),NA())</f>
        <v>1630</v>
      </c>
      <c r="F90" s="53" cm="1">
        <f t="array" aca="1" ref="F90" ca="1">IF(ISNUMBER(_xll.VoseSimPercentile(TotPolS,$B90)),_xll.VoseSimPercentile(TotPolS,$B90),NA())</f>
        <v>1631</v>
      </c>
    </row>
    <row r="91" spans="2:6" hidden="1" outlineLevel="1" x14ac:dyDescent="0.45">
      <c r="B91" s="52">
        <v>0.61</v>
      </c>
      <c r="C91" s="52">
        <f t="shared" si="0"/>
        <v>0.39</v>
      </c>
      <c r="D91" s="53" cm="1">
        <f t="array" aca="1" ref="D91" ca="1">IF(ISNUMBER(_xll.VoseSimPercentile(TotPois,$B91)),_xll.VoseSimPercentile(TotPois,$B91),NA())</f>
        <v>1616</v>
      </c>
      <c r="E91" s="53" cm="1">
        <f t="array" aca="1" ref="E91" ca="1">IF(ISNUMBER(_xll.VoseSimPercentile(TotPolW,$B91)),_xll.VoseSimPercentile(TotPolW,$B91),NA())</f>
        <v>1636</v>
      </c>
      <c r="F91" s="53" cm="1">
        <f t="array" aca="1" ref="F91" ca="1">IF(ISNUMBER(_xll.VoseSimPercentile(TotPolS,$B91)),_xll.VoseSimPercentile(TotPolS,$B91),NA())</f>
        <v>1673</v>
      </c>
    </row>
    <row r="92" spans="2:6" hidden="1" outlineLevel="1" x14ac:dyDescent="0.45">
      <c r="B92" s="52">
        <v>0.63</v>
      </c>
      <c r="C92" s="52">
        <f t="shared" si="0"/>
        <v>0.37</v>
      </c>
      <c r="D92" s="53" cm="1">
        <f t="array" aca="1" ref="D92" ca="1">IF(ISNUMBER(_xll.VoseSimPercentile(TotPois,$B92)),_xll.VoseSimPercentile(TotPois,$B92),NA())</f>
        <v>1618</v>
      </c>
      <c r="E92" s="53" cm="1">
        <f t="array" aca="1" ref="E92" ca="1">IF(ISNUMBER(_xll.VoseSimPercentile(TotPolW,$B92)),_xll.VoseSimPercentile(TotPolW,$B92),NA())</f>
        <v>1643</v>
      </c>
      <c r="F92" s="53" cm="1">
        <f t="array" aca="1" ref="F92" ca="1">IF(ISNUMBER(_xll.VoseSimPercentile(TotPolS,$B92)),_xll.VoseSimPercentile(TotPolS,$B92),NA())</f>
        <v>1723</v>
      </c>
    </row>
    <row r="93" spans="2:6" hidden="1" outlineLevel="1" x14ac:dyDescent="0.45">
      <c r="B93" s="52">
        <v>0.65</v>
      </c>
      <c r="C93" s="52">
        <f t="shared" ref="C93:C124" si="1">1-B93</f>
        <v>0.35</v>
      </c>
      <c r="D93" s="53" cm="1">
        <f t="array" aca="1" ref="D93" ca="1">IF(ISNUMBER(_xll.VoseSimPercentile(TotPois,$B93)),_xll.VoseSimPercentile(TotPois,$B93),NA())</f>
        <v>1620</v>
      </c>
      <c r="E93" s="53" cm="1">
        <f t="array" aca="1" ref="E93" ca="1">IF(ISNUMBER(_xll.VoseSimPercentile(TotPolW,$B93)),_xll.VoseSimPercentile(TotPolW,$B93),NA())</f>
        <v>1651</v>
      </c>
      <c r="F93" s="53" cm="1">
        <f t="array" aca="1" ref="F93" ca="1">IF(ISNUMBER(_xll.VoseSimPercentile(TotPolS,$B93)),_xll.VoseSimPercentile(TotPolS,$B93),NA())</f>
        <v>1768</v>
      </c>
    </row>
    <row r="94" spans="2:6" hidden="1" outlineLevel="1" x14ac:dyDescent="0.45">
      <c r="B94" s="52">
        <v>0.67</v>
      </c>
      <c r="C94" s="52">
        <f t="shared" si="1"/>
        <v>0.32999999999999996</v>
      </c>
      <c r="D94" s="53" cm="1">
        <f t="array" aca="1" ref="D94" ca="1">IF(ISNUMBER(_xll.VoseSimPercentile(TotPois,$B94)),_xll.VoseSimPercentile(TotPois,$B94),NA())</f>
        <v>1622</v>
      </c>
      <c r="E94" s="53" cm="1">
        <f t="array" aca="1" ref="E94" ca="1">IF(ISNUMBER(_xll.VoseSimPercentile(TotPolW,$B94)),_xll.VoseSimPercentile(TotPolW,$B94),NA())</f>
        <v>1658</v>
      </c>
      <c r="F94" s="53" cm="1">
        <f t="array" aca="1" ref="F94" ca="1">IF(ISNUMBER(_xll.VoseSimPercentile(TotPolS,$B94)),_xll.VoseSimPercentile(TotPolS,$B94),NA())</f>
        <v>1821</v>
      </c>
    </row>
    <row r="95" spans="2:6" hidden="1" outlineLevel="1" x14ac:dyDescent="0.45">
      <c r="B95" s="52">
        <v>0.69</v>
      </c>
      <c r="C95" s="52">
        <f t="shared" si="1"/>
        <v>0.31000000000000005</v>
      </c>
      <c r="D95" s="53" cm="1">
        <f t="array" aca="1" ref="D95" ca="1">IF(ISNUMBER(_xll.VoseSimPercentile(TotPois,$B95)),_xll.VoseSimPercentile(TotPois,$B95),NA())</f>
        <v>1624</v>
      </c>
      <c r="E95" s="53" cm="1">
        <f t="array" aca="1" ref="E95" ca="1">IF(ISNUMBER(_xll.VoseSimPercentile(TotPolW,$B95)),_xll.VoseSimPercentile(TotPolW,$B95),NA())</f>
        <v>1665</v>
      </c>
      <c r="F95" s="53" cm="1">
        <f t="array" aca="1" ref="F95" ca="1">IF(ISNUMBER(_xll.VoseSimPercentile(TotPolS,$B95)),_xll.VoseSimPercentile(TotPolS,$B95),NA())</f>
        <v>1877</v>
      </c>
    </row>
    <row r="96" spans="2:6" hidden="1" outlineLevel="1" x14ac:dyDescent="0.45">
      <c r="B96" s="52">
        <v>0.71</v>
      </c>
      <c r="C96" s="52">
        <f t="shared" si="1"/>
        <v>0.29000000000000004</v>
      </c>
      <c r="D96" s="53" cm="1">
        <f t="array" aca="1" ref="D96" ca="1">IF(ISNUMBER(_xll.VoseSimPercentile(TotPois,$B96)),_xll.VoseSimPercentile(TotPois,$B96),NA())</f>
        <v>1627</v>
      </c>
      <c r="E96" s="53" cm="1">
        <f t="array" aca="1" ref="E96" ca="1">IF(ISNUMBER(_xll.VoseSimPercentile(TotPolW,$B96)),_xll.VoseSimPercentile(TotPolW,$B96),NA())</f>
        <v>1674</v>
      </c>
      <c r="F96" s="53" cm="1">
        <f t="array" aca="1" ref="F96" ca="1">IF(ISNUMBER(_xll.VoseSimPercentile(TotPolS,$B96)),_xll.VoseSimPercentile(TotPolS,$B96),NA())</f>
        <v>1940</v>
      </c>
    </row>
    <row r="97" spans="2:7" hidden="1" outlineLevel="1" x14ac:dyDescent="0.45">
      <c r="B97" s="52">
        <v>0.73</v>
      </c>
      <c r="C97" s="52">
        <f t="shared" si="1"/>
        <v>0.27</v>
      </c>
      <c r="D97" s="53" cm="1">
        <f t="array" aca="1" ref="D97" ca="1">IF(ISNUMBER(_xll.VoseSimPercentile(TotPois,$B97)),_xll.VoseSimPercentile(TotPois,$B97),NA())</f>
        <v>1629</v>
      </c>
      <c r="E97" s="53" cm="1">
        <f t="array" aca="1" ref="E97" ca="1">IF(ISNUMBER(_xll.VoseSimPercentile(TotPolW,$B97)),_xll.VoseSimPercentile(TotPolW,$B97),NA())</f>
        <v>1682</v>
      </c>
      <c r="F97" s="53" cm="1">
        <f t="array" aca="1" ref="F97" ca="1">IF(ISNUMBER(_xll.VoseSimPercentile(TotPolS,$B97)),_xll.VoseSimPercentile(TotPolS,$B97),NA())</f>
        <v>2003</v>
      </c>
    </row>
    <row r="98" spans="2:7" hidden="1" outlineLevel="1" x14ac:dyDescent="0.45">
      <c r="B98" s="52">
        <v>0.75</v>
      </c>
      <c r="C98" s="52">
        <f t="shared" si="1"/>
        <v>0.25</v>
      </c>
      <c r="D98" s="53" cm="1">
        <f t="array" aca="1" ref="D98" ca="1">IF(ISNUMBER(_xll.VoseSimPercentile(TotPois,$B98)),_xll.VoseSimPercentile(TotPois,$B98),NA())</f>
        <v>1632</v>
      </c>
      <c r="E98" s="53" cm="1">
        <f t="array" aca="1" ref="E98" ca="1">IF(ISNUMBER(_xll.VoseSimPercentile(TotPolW,$B98)),_xll.VoseSimPercentile(TotPolW,$B98),NA())</f>
        <v>1690</v>
      </c>
      <c r="F98" s="53" cm="1">
        <f t="array" aca="1" ref="F98" ca="1">IF(ISNUMBER(_xll.VoseSimPercentile(TotPolS,$B98)),_xll.VoseSimPercentile(TotPolS,$B98),NA())</f>
        <v>2065</v>
      </c>
    </row>
    <row r="99" spans="2:7" hidden="1" outlineLevel="1" x14ac:dyDescent="0.45">
      <c r="B99" s="52">
        <v>0.77</v>
      </c>
      <c r="C99" s="52">
        <f t="shared" si="1"/>
        <v>0.22999999999999998</v>
      </c>
      <c r="D99" s="53" cm="1">
        <f t="array" aca="1" ref="D99" ca="1">IF(ISNUMBER(_xll.VoseSimPercentile(TotPois,$B99)),_xll.VoseSimPercentile(TotPois,$B99),NA())</f>
        <v>1634</v>
      </c>
      <c r="E99" s="53" cm="1">
        <f t="array" aca="1" ref="E99" ca="1">IF(ISNUMBER(_xll.VoseSimPercentile(TotPolW,$B99)),_xll.VoseSimPercentile(TotPolW,$B99),NA())</f>
        <v>1699</v>
      </c>
      <c r="F99" s="53" cm="1">
        <f t="array" aca="1" ref="F99" ca="1">IF(ISNUMBER(_xll.VoseSimPercentile(TotPolS,$B99)),_xll.VoseSimPercentile(TotPolS,$B99),NA())</f>
        <v>2132</v>
      </c>
    </row>
    <row r="100" spans="2:7" hidden="1" outlineLevel="1" x14ac:dyDescent="0.45">
      <c r="B100" s="52">
        <v>0.79</v>
      </c>
      <c r="C100" s="52">
        <f t="shared" si="1"/>
        <v>0.20999999999999996</v>
      </c>
      <c r="D100" s="53" cm="1">
        <f t="array" aca="1" ref="D100" ca="1">IF(ISNUMBER(_xll.VoseSimPercentile(TotPois,$B100)),_xll.VoseSimPercentile(TotPois,$B100),NA())</f>
        <v>1637</v>
      </c>
      <c r="E100" s="53" cm="1">
        <f t="array" aca="1" ref="E100" ca="1">IF(ISNUMBER(_xll.VoseSimPercentile(TotPolW,$B100)),_xll.VoseSimPercentile(TotPolW,$B100),NA())</f>
        <v>1708</v>
      </c>
      <c r="F100" s="53" cm="1">
        <f t="array" aca="1" ref="F100" ca="1">IF(ISNUMBER(_xll.VoseSimPercentile(TotPolS,$B100)),_xll.VoseSimPercentile(TotPolS,$B100),NA())</f>
        <v>2192</v>
      </c>
    </row>
    <row r="101" spans="2:7" hidden="1" outlineLevel="1" x14ac:dyDescent="0.45">
      <c r="B101" s="52">
        <v>0.81</v>
      </c>
      <c r="C101" s="52">
        <f t="shared" si="1"/>
        <v>0.18999999999999995</v>
      </c>
      <c r="D101" s="53" cm="1">
        <f t="array" aca="1" ref="D101" ca="1">IF(ISNUMBER(_xll.VoseSimPercentile(TotPois,$B101)),_xll.VoseSimPercentile(TotPois,$B101),NA())</f>
        <v>1640</v>
      </c>
      <c r="E101" s="53" cm="1">
        <f t="array" aca="1" ref="E101" ca="1">IF(ISNUMBER(_xll.VoseSimPercentile(TotPolW,$B101)),_xll.VoseSimPercentile(TotPolW,$B101),NA())</f>
        <v>1717</v>
      </c>
      <c r="F101" s="53" cm="1">
        <f t="array" aca="1" ref="F101" ca="1">IF(ISNUMBER(_xll.VoseSimPercentile(TotPolS,$B101)),_xll.VoseSimPercentile(TotPolS,$B101),NA())</f>
        <v>2262</v>
      </c>
    </row>
    <row r="102" spans="2:7" hidden="1" outlineLevel="1" x14ac:dyDescent="0.45">
      <c r="B102" s="52">
        <v>0.83</v>
      </c>
      <c r="C102" s="52">
        <f t="shared" si="1"/>
        <v>0.17000000000000004</v>
      </c>
      <c r="D102" s="53" cm="1">
        <f t="array" aca="1" ref="D102" ca="1">IF(ISNUMBER(_xll.VoseSimPercentile(TotPois,$B102)),_xll.VoseSimPercentile(TotPois,$B102),NA())</f>
        <v>1643</v>
      </c>
      <c r="E102" s="53" cm="1">
        <f t="array" aca="1" ref="E102" ca="1">IF(ISNUMBER(_xll.VoseSimPercentile(TotPolW,$B102)),_xll.VoseSimPercentile(TotPolW,$B102),NA())</f>
        <v>1728</v>
      </c>
      <c r="F102" s="53" cm="1">
        <f t="array" aca="1" ref="F102" ca="1">IF(ISNUMBER(_xll.VoseSimPercentile(TotPolS,$B102)),_xll.VoseSimPercentile(TotPolS,$B102),NA())</f>
        <v>2353</v>
      </c>
    </row>
    <row r="103" spans="2:7" hidden="1" outlineLevel="1" x14ac:dyDescent="0.45">
      <c r="B103" s="52">
        <v>0.85</v>
      </c>
      <c r="C103" s="52">
        <f t="shared" si="1"/>
        <v>0.15000000000000002</v>
      </c>
      <c r="D103" s="53" cm="1">
        <f t="array" aca="1" ref="D103" ca="1">IF(ISNUMBER(_xll.VoseSimPercentile(TotPois,$B103)),_xll.VoseSimPercentile(TotPois,$B103),NA())</f>
        <v>1646</v>
      </c>
      <c r="E103" s="53" cm="1">
        <f t="array" aca="1" ref="E103" ca="1">IF(ISNUMBER(_xll.VoseSimPercentile(TotPolW,$B103)),_xll.VoseSimPercentile(TotPolW,$B103),NA())</f>
        <v>1739</v>
      </c>
      <c r="F103" s="53" cm="1">
        <f t="array" aca="1" ref="F103" ca="1">IF(ISNUMBER(_xll.VoseSimPercentile(TotPolS,$B103)),_xll.VoseSimPercentile(TotPolS,$B103),NA())</f>
        <v>2440</v>
      </c>
    </row>
    <row r="104" spans="2:7" hidden="1" outlineLevel="1" x14ac:dyDescent="0.45">
      <c r="B104" s="52">
        <v>0.87</v>
      </c>
      <c r="C104" s="52">
        <f t="shared" si="1"/>
        <v>0.13</v>
      </c>
      <c r="D104" s="53" cm="1">
        <f t="array" aca="1" ref="D104" ca="1">IF(ISNUMBER(_xll.VoseSimPercentile(TotPois,$B104)),_xll.VoseSimPercentile(TotPois,$B104),NA())</f>
        <v>1650</v>
      </c>
      <c r="E104" s="53" cm="1">
        <f t="array" aca="1" ref="E104" ca="1">IF(ISNUMBER(_xll.VoseSimPercentile(TotPolW,$B104)),_xll.VoseSimPercentile(TotPolW,$B104),NA())</f>
        <v>1752</v>
      </c>
      <c r="F104" s="53" cm="1">
        <f t="array" aca="1" ref="F104" ca="1">IF(ISNUMBER(_xll.VoseSimPercentile(TotPolS,$B104)),_xll.VoseSimPercentile(TotPolS,$B104),NA())</f>
        <v>2540</v>
      </c>
    </row>
    <row r="105" spans="2:7" hidden="1" outlineLevel="1" x14ac:dyDescent="0.45">
      <c r="B105" s="52">
        <v>0.89</v>
      </c>
      <c r="C105" s="52">
        <f t="shared" si="1"/>
        <v>0.10999999999999999</v>
      </c>
      <c r="D105" s="53" cm="1">
        <f t="array" aca="1" ref="D105" ca="1">IF(ISNUMBER(_xll.VoseSimPercentile(TotPois,$B105)),_xll.VoseSimPercentile(TotPois,$B105),NA())</f>
        <v>1653</v>
      </c>
      <c r="E105" s="53" cm="1">
        <f t="array" aca="1" ref="E105" ca="1">IF(ISNUMBER(_xll.VoseSimPercentile(TotPolW,$B105)),_xll.VoseSimPercentile(TotPolW,$B105),NA())</f>
        <v>1767</v>
      </c>
      <c r="F105" s="53" cm="1">
        <f t="array" aca="1" ref="F105" ca="1">IF(ISNUMBER(_xll.VoseSimPercentile(TotPolS,$B105)),_xll.VoseSimPercentile(TotPolS,$B105),NA())</f>
        <v>2656</v>
      </c>
    </row>
    <row r="106" spans="2:7" hidden="1" outlineLevel="1" x14ac:dyDescent="0.45">
      <c r="B106" s="52">
        <v>0.91</v>
      </c>
      <c r="C106" s="52">
        <f t="shared" si="1"/>
        <v>8.9999999999999969E-2</v>
      </c>
      <c r="D106" s="53" cm="1">
        <f t="array" aca="1" ref="D106" ca="1">IF(ISNUMBER(_xll.VoseSimPercentile(TotPois,$B106)),_xll.VoseSimPercentile(TotPois,$B106),NA())</f>
        <v>1658</v>
      </c>
      <c r="E106" s="53" cm="1">
        <f t="array" aca="1" ref="E106" ca="1">IF(ISNUMBER(_xll.VoseSimPercentile(TotPolW,$B106)),_xll.VoseSimPercentile(TotPolW,$B106),NA())</f>
        <v>1784</v>
      </c>
      <c r="F106" s="53" cm="1">
        <f t="array" aca="1" ref="F106" ca="1">IF(ISNUMBER(_xll.VoseSimPercentile(TotPolS,$B106)),_xll.VoseSimPercentile(TotPolS,$B106),NA())</f>
        <v>2805</v>
      </c>
    </row>
    <row r="107" spans="2:7" hidden="1" outlineLevel="1" x14ac:dyDescent="0.45">
      <c r="B107" s="52">
        <v>0.93</v>
      </c>
      <c r="C107" s="52">
        <f t="shared" si="1"/>
        <v>6.9999999999999951E-2</v>
      </c>
      <c r="D107" s="53" cm="1">
        <f t="array" aca="1" ref="D107" ca="1">IF(ISNUMBER(_xll.VoseSimPercentile(TotPois,$B107)),_xll.VoseSimPercentile(TotPois,$B107),NA())</f>
        <v>1664</v>
      </c>
      <c r="E107" s="53" cm="1">
        <f t="array" aca="1" ref="E107" ca="1">IF(ISNUMBER(_xll.VoseSimPercentile(TotPolW,$B107)),_xll.VoseSimPercentile(TotPolW,$B107),NA())</f>
        <v>1803</v>
      </c>
      <c r="F107" s="53" cm="1">
        <f t="array" aca="1" ref="F107" ca="1">IF(ISNUMBER(_xll.VoseSimPercentile(TotPolS,$B107)),_xll.VoseSimPercentile(TotPolS,$B107),NA())</f>
        <v>3006</v>
      </c>
    </row>
    <row r="108" spans="2:7" hidden="1" outlineLevel="1" x14ac:dyDescent="0.45">
      <c r="B108" s="52">
        <v>0.95</v>
      </c>
      <c r="C108" s="52">
        <f t="shared" si="1"/>
        <v>5.0000000000000044E-2</v>
      </c>
      <c r="D108" s="53" cm="1">
        <f t="array" aca="1" ref="D108" ca="1">IF(ISNUMBER(_xll.VoseSimPercentile(TotPois,$B108)),_xll.VoseSimPercentile(TotPois,$B108),NA())</f>
        <v>1672</v>
      </c>
      <c r="E108" s="53" cm="1">
        <f t="array" aca="1" ref="E108" ca="1">IF(ISNUMBER(_xll.VoseSimPercentile(TotPolW,$B108)),_xll.VoseSimPercentile(TotPolW,$B108),NA())</f>
        <v>1828</v>
      </c>
      <c r="F108" s="53" cm="1">
        <f t="array" aca="1" ref="F108" ca="1">IF(ISNUMBER(_xll.VoseSimPercentile(TotPolS,$B108)),_xll.VoseSimPercentile(TotPolS,$B108),NA())</f>
        <v>3255</v>
      </c>
    </row>
    <row r="109" spans="2:7" hidden="1" outlineLevel="1" x14ac:dyDescent="0.45">
      <c r="B109" s="52">
        <v>0.97</v>
      </c>
      <c r="C109" s="52">
        <f t="shared" si="1"/>
        <v>3.0000000000000027E-2</v>
      </c>
      <c r="D109" s="53" cm="1">
        <f t="array" aca="1" ref="D109" ca="1">IF(ISNUMBER(_xll.VoseSimPercentile(TotPois,$B109)),_xll.VoseSimPercentile(TotPois,$B109),NA())</f>
        <v>1681</v>
      </c>
      <c r="E109" s="53" cm="1">
        <f t="array" aca="1" ref="E109" ca="1">IF(ISNUMBER(_xll.VoseSimPercentile(TotPolW,$B109)),_xll.VoseSimPercentile(TotPolW,$B109),NA())</f>
        <v>1859</v>
      </c>
      <c r="F109" s="53" cm="1">
        <f t="array" aca="1" ref="F109" ca="1">IF(ISNUMBER(_xll.VoseSimPercentile(TotPolS,$B109)),_xll.VoseSimPercentile(TotPolS,$B109),NA())</f>
        <v>3641</v>
      </c>
    </row>
    <row r="110" spans="2:7" hidden="1" outlineLevel="1" x14ac:dyDescent="0.45">
      <c r="B110" s="52">
        <v>0.99</v>
      </c>
      <c r="C110" s="52">
        <f t="shared" si="1"/>
        <v>1.0000000000000009E-2</v>
      </c>
      <c r="D110" s="53" cm="1">
        <f t="array" aca="1" ref="D110" ca="1">IF(ISNUMBER(_xll.VoseSimPercentile(TotPois,$B110)),_xll.VoseSimPercentile(TotPois,$B110),NA())</f>
        <v>1699</v>
      </c>
      <c r="E110" s="53" cm="1">
        <f t="array" aca="1" ref="E110" ca="1">IF(ISNUMBER(_xll.VoseSimPercentile(TotPolW,$B110)),_xll.VoseSimPercentile(TotPolW,$B110),NA())</f>
        <v>1924</v>
      </c>
      <c r="F110" s="53" cm="1">
        <f t="array" aca="1" ref="F110" ca="1">IF(ISNUMBER(_xll.VoseSimPercentile(TotPolS,$B110)),_xll.VoseSimPercentile(TotPolS,$B110),NA())</f>
        <v>4298</v>
      </c>
    </row>
    <row r="111" spans="2:7" hidden="1" outlineLevel="1" x14ac:dyDescent="0.45"/>
    <row r="112" spans="2:7" ht="28.05" hidden="1" customHeight="1" outlineLevel="1" x14ac:dyDescent="0.45">
      <c r="B112" s="23" t="s">
        <v>170</v>
      </c>
      <c r="C112" s="24" t="s">
        <v>171</v>
      </c>
      <c r="D112" s="24" t="s">
        <v>172</v>
      </c>
      <c r="E112" s="24" t="s">
        <v>173</v>
      </c>
      <c r="F112" s="24" t="s">
        <v>147</v>
      </c>
      <c r="G112" s="5"/>
    </row>
    <row r="113" spans="2:6" hidden="1" outlineLevel="1" x14ac:dyDescent="0.45">
      <c r="B113" s="54" t="s">
        <v>174</v>
      </c>
      <c r="C113" s="53" cm="1">
        <f t="array" aca="1" ref="C113" ca="1">IF(ISNUMBER(_xll.VoseSimPercentile(Pois_1,0.1)),_xll.VoseSimPercentile(Pois_1,0.1),NA())</f>
        <v>21</v>
      </c>
      <c r="D113" s="53" cm="1">
        <f t="array" aca="1" ref="D113" ca="1">IF(ISNUMBER(_xll.VoseSimPercentile(Pois_1,0.5)),_xll.VoseSimPercentile(Pois_1,0.5),NA())</f>
        <v>27</v>
      </c>
      <c r="E113" s="53" cm="1">
        <f t="array" aca="1" ref="E113" ca="1">IF(ISNUMBER(_xll.VoseSimPercentile(Pois_1,0.9)),_xll.VoseSimPercentile(Pois_1,0.9),NA())</f>
        <v>34</v>
      </c>
      <c r="F113" s="53" cm="1">
        <f t="array" aca="1" ref="F113" ca="1">IF(ISNUMBER(_xll.VoseSimMean(Pois_1)),_xll.VoseSimMean(Pois_1),NA())</f>
        <v>27.239361968098404</v>
      </c>
    </row>
    <row r="114" spans="2:6" hidden="1" outlineLevel="1" x14ac:dyDescent="0.45">
      <c r="B114" s="54" t="s">
        <v>175</v>
      </c>
      <c r="C114" s="53" cm="1">
        <f t="array" aca="1" ref="C114" ca="1">IF(ISNUMBER(_xll.VoseSimPercentile(Pois_2,0.1)),_xll.VoseSimPercentile(Pois_2,0.1),NA())</f>
        <v>21</v>
      </c>
      <c r="D114" s="53" cm="1">
        <f t="array" aca="1" ref="D114" ca="1">IF(ISNUMBER(_xll.VoseSimPercentile(Pois_2,0.5)),_xll.VoseSimPercentile(Pois_2,0.5),NA())</f>
        <v>27</v>
      </c>
      <c r="E114" s="53" cm="1">
        <f t="array" aca="1" ref="E114" ca="1">IF(ISNUMBER(_xll.VoseSimPercentile(Pois_2,0.9)),_xll.VoseSimPercentile(Pois_2,0.9),NA())</f>
        <v>34</v>
      </c>
      <c r="F114" s="53" cm="1">
        <f t="array" aca="1" ref="F114" ca="1">IF(ISNUMBER(_xll.VoseSimMean(Pois_2)),_xll.VoseSimMean(Pois_2),NA())</f>
        <v>27.428921446072305</v>
      </c>
    </row>
    <row r="115" spans="2:6" hidden="1" outlineLevel="1" x14ac:dyDescent="0.45">
      <c r="B115" s="54" t="s">
        <v>176</v>
      </c>
      <c r="C115" s="53" cm="1">
        <f t="array" aca="1" ref="C115" ca="1">IF(ISNUMBER(_xll.VoseSimPercentile(Pois_3,0.1)),_xll.VoseSimPercentile(Pois_3,0.1),NA())</f>
        <v>21</v>
      </c>
      <c r="D115" s="53" cm="1">
        <f t="array" aca="1" ref="D115" ca="1">IF(ISNUMBER(_xll.VoseSimPercentile(Pois_3,0.5)),_xll.VoseSimPercentile(Pois_3,0.5),NA())</f>
        <v>27</v>
      </c>
      <c r="E115" s="53" cm="1">
        <f t="array" aca="1" ref="E115" ca="1">IF(ISNUMBER(_xll.VoseSimPercentile(Pois_3,0.9)),_xll.VoseSimPercentile(Pois_3,0.9),NA())</f>
        <v>35</v>
      </c>
      <c r="F115" s="53" cm="1">
        <f t="array" aca="1" ref="F115" ca="1">IF(ISNUMBER(_xll.VoseSimMean(Pois_3)),_xll.VoseSimMean(Pois_3),NA())</f>
        <v>27.617830891544578</v>
      </c>
    </row>
    <row r="116" spans="2:6" hidden="1" outlineLevel="1" x14ac:dyDescent="0.45">
      <c r="B116" s="54" t="s">
        <v>177</v>
      </c>
      <c r="C116" s="53" cm="1">
        <f t="array" aca="1" ref="C116" ca="1">IF(ISNUMBER(_xll.VoseSimPercentile(Pois_4,0.1)),_xll.VoseSimPercentile(Pois_4,0.1),NA())</f>
        <v>21</v>
      </c>
      <c r="D116" s="53" cm="1">
        <f t="array" aca="1" ref="D116" ca="1">IF(ISNUMBER(_xll.VoseSimPercentile(Pois_4,0.5)),_xll.VoseSimPercentile(Pois_4,0.5),NA())</f>
        <v>28</v>
      </c>
      <c r="E116" s="53" cm="1">
        <f t="array" aca="1" ref="E116" ca="1">IF(ISNUMBER(_xll.VoseSimPercentile(Pois_4,0.9)),_xll.VoseSimPercentile(Pois_4,0.9),NA())</f>
        <v>35</v>
      </c>
      <c r="F116" s="53" cm="1">
        <f t="array" aca="1" ref="F116" ca="1">IF(ISNUMBER(_xll.VoseSimMean(Pois_4)),_xll.VoseSimMean(Pois_4),NA())</f>
        <v>27.869593479673984</v>
      </c>
    </row>
    <row r="117" spans="2:6" hidden="1" outlineLevel="1" x14ac:dyDescent="0.45">
      <c r="B117" s="54" t="s">
        <v>178</v>
      </c>
      <c r="C117" s="53" cm="1">
        <f t="array" aca="1" ref="C117" ca="1">IF(ISNUMBER(_xll.VoseSimPercentile(Pois_5,0.1)),_xll.VoseSimPercentile(Pois_5,0.1),NA())</f>
        <v>21</v>
      </c>
      <c r="D117" s="53" cm="1">
        <f t="array" aca="1" ref="D117" ca="1">IF(ISNUMBER(_xll.VoseSimPercentile(Pois_5,0.5)),_xll.VoseSimPercentile(Pois_5,0.5),NA())</f>
        <v>28</v>
      </c>
      <c r="E117" s="53" cm="1">
        <f t="array" aca="1" ref="E117" ca="1">IF(ISNUMBER(_xll.VoseSimPercentile(Pois_5,0.9)),_xll.VoseSimPercentile(Pois_5,0.9),NA())</f>
        <v>35</v>
      </c>
      <c r="F117" s="53" cm="1">
        <f t="array" aca="1" ref="F117" ca="1">IF(ISNUMBER(_xll.VoseSimMean(Pois_5)),_xll.VoseSimMean(Pois_5),NA())</f>
        <v>28.031451572578629</v>
      </c>
    </row>
    <row r="118" spans="2:6" hidden="1" outlineLevel="1" x14ac:dyDescent="0.45">
      <c r="B118" s="54" t="s">
        <v>179</v>
      </c>
      <c r="C118" s="53" cm="1">
        <f t="array" aca="1" ref="C118" ca="1">IF(ISNUMBER(_xll.VoseSimPercentile(Pois_6,0.1)),_xll.VoseSimPercentile(Pois_6,0.1),NA())</f>
        <v>22</v>
      </c>
      <c r="D118" s="53" cm="1">
        <f t="array" aca="1" ref="D118" ca="1">IF(ISNUMBER(_xll.VoseSimPercentile(Pois_6,0.5)),_xll.VoseSimPercentile(Pois_6,0.5),NA())</f>
        <v>28</v>
      </c>
      <c r="E118" s="53" cm="1">
        <f t="array" aca="1" ref="E118" ca="1">IF(ISNUMBER(_xll.VoseSimPercentile(Pois_6,0.9)),_xll.VoseSimPercentile(Pois_6,0.9),NA())</f>
        <v>35</v>
      </c>
      <c r="F118" s="53" cm="1">
        <f t="array" aca="1" ref="F118" ca="1">IF(ISNUMBER(_xll.VoseSimMean(Pois_6)),_xll.VoseSimMean(Pois_6),NA())</f>
        <v>28.251912595629783</v>
      </c>
    </row>
    <row r="119" spans="2:6" hidden="1" outlineLevel="1" x14ac:dyDescent="0.45">
      <c r="B119" s="54" t="s">
        <v>180</v>
      </c>
      <c r="C119" s="53" cm="1">
        <f t="array" aca="1" ref="C119" ca="1">IF(ISNUMBER(_xll.VoseSimPercentile(Pois_7,0.1)),_xll.VoseSimPercentile(Pois_7,0.1),NA())</f>
        <v>22</v>
      </c>
      <c r="D119" s="53" cm="1">
        <f t="array" aca="1" ref="D119" ca="1">IF(ISNUMBER(_xll.VoseSimPercentile(Pois_7,0.5)),_xll.VoseSimPercentile(Pois_7,0.5),NA())</f>
        <v>28</v>
      </c>
      <c r="E119" s="53" cm="1">
        <f t="array" aca="1" ref="E119" ca="1">IF(ISNUMBER(_xll.VoseSimPercentile(Pois_7,0.9)),_xll.VoseSimPercentile(Pois_7,0.9),NA())</f>
        <v>35</v>
      </c>
      <c r="F119" s="53" cm="1">
        <f t="array" aca="1" ref="F119" ca="1">IF(ISNUMBER(_xll.VoseSimMean(Pois_7)),_xll.VoseSimMean(Pois_7),NA())</f>
        <v>28.353517675883793</v>
      </c>
    </row>
    <row r="120" spans="2:6" hidden="1" outlineLevel="1" x14ac:dyDescent="0.45">
      <c r="B120" s="54" t="s">
        <v>181</v>
      </c>
      <c r="C120" s="53" cm="1">
        <f t="array" aca="1" ref="C120" ca="1">IF(ISNUMBER(_xll.VoseSimPercentile(Pois_8,0.1)),_xll.VoseSimPercentile(Pois_8,0.1),NA())</f>
        <v>22</v>
      </c>
      <c r="D120" s="53" cm="1">
        <f t="array" aca="1" ref="D120" ca="1">IF(ISNUMBER(_xll.VoseSimPercentile(Pois_8,0.5)),_xll.VoseSimPercentile(Pois_8,0.5),NA())</f>
        <v>28</v>
      </c>
      <c r="E120" s="53" cm="1">
        <f t="array" aca="1" ref="E120" ca="1">IF(ISNUMBER(_xll.VoseSimPercentile(Pois_8,0.9)),_xll.VoseSimPercentile(Pois_8,0.9),NA())</f>
        <v>36</v>
      </c>
      <c r="F120" s="53" cm="1">
        <f t="array" aca="1" ref="F120" ca="1">IF(ISNUMBER(_xll.VoseSimMean(Pois_8)),_xll.VoseSimMean(Pois_8),NA())</f>
        <v>28.662533126656331</v>
      </c>
    </row>
    <row r="121" spans="2:6" hidden="1" outlineLevel="1" x14ac:dyDescent="0.45">
      <c r="B121" s="54" t="s">
        <v>182</v>
      </c>
      <c r="C121" s="53" cm="1">
        <f t="array" aca="1" ref="C121" ca="1">IF(ISNUMBER(_xll.VoseSimPercentile(Pois_9,0.1)),_xll.VoseSimPercentile(Pois_9,0.1),NA())</f>
        <v>22</v>
      </c>
      <c r="D121" s="53" cm="1">
        <f t="array" aca="1" ref="D121" ca="1">IF(ISNUMBER(_xll.VoseSimPercentile(Pois_9,0.5)),_xll.VoseSimPercentile(Pois_9,0.5),NA())</f>
        <v>29</v>
      </c>
      <c r="E121" s="53" cm="1">
        <f t="array" aca="1" ref="E121" ca="1">IF(ISNUMBER(_xll.VoseSimPercentile(Pois_9,0.9)),_xll.VoseSimPercentile(Pois_9,0.9),NA())</f>
        <v>36</v>
      </c>
      <c r="F121" s="53" cm="1">
        <f t="array" aca="1" ref="F121" ca="1">IF(ISNUMBER(_xll.VoseSimMean(Pois_9)),_xll.VoseSimMean(Pois_9),NA())</f>
        <v>28.833641682084103</v>
      </c>
    </row>
    <row r="122" spans="2:6" hidden="1" outlineLevel="1" x14ac:dyDescent="0.45">
      <c r="B122" s="54" t="s">
        <v>183</v>
      </c>
      <c r="C122" s="53" cm="1">
        <f t="array" aca="1" ref="C122" ca="1">IF(ISNUMBER(_xll.VoseSimPercentile(Pois_10,0.1)),_xll.VoseSimPercentile(Pois_10,0.1),NA())</f>
        <v>22</v>
      </c>
      <c r="D122" s="53" cm="1">
        <f t="array" aca="1" ref="D122" ca="1">IF(ISNUMBER(_xll.VoseSimPercentile(Pois_10,0.5)),_xll.VoseSimPercentile(Pois_10,0.5),NA())</f>
        <v>29</v>
      </c>
      <c r="E122" s="53" cm="1">
        <f t="array" aca="1" ref="E122" ca="1">IF(ISNUMBER(_xll.VoseSimPercentile(Pois_10,0.9)),_xll.VoseSimPercentile(Pois_10,0.9),NA())</f>
        <v>36</v>
      </c>
      <c r="F122" s="53" cm="1">
        <f t="array" aca="1" ref="F122" ca="1">IF(ISNUMBER(_xll.VoseSimMean(Pois_10)),_xll.VoseSimMean(Pois_10),NA())</f>
        <v>28.961298064903247</v>
      </c>
    </row>
    <row r="123" spans="2:6" hidden="1" outlineLevel="1" x14ac:dyDescent="0.45">
      <c r="B123" s="54" t="s">
        <v>184</v>
      </c>
      <c r="C123" s="53" cm="1">
        <f t="array" aca="1" ref="C123" ca="1">IF(ISNUMBER(_xll.VoseSimPercentile(Pois_11,0.1)),_xll.VoseSimPercentile(Pois_11,0.1),NA())</f>
        <v>22</v>
      </c>
      <c r="D123" s="53" cm="1">
        <f t="array" aca="1" ref="D123" ca="1">IF(ISNUMBER(_xll.VoseSimPercentile(Pois_11,0.5)),_xll.VoseSimPercentile(Pois_11,0.5),NA())</f>
        <v>29</v>
      </c>
      <c r="E123" s="53" cm="1">
        <f t="array" aca="1" ref="E123" ca="1">IF(ISNUMBER(_xll.VoseSimPercentile(Pois_11,0.9)),_xll.VoseSimPercentile(Pois_11,0.9),NA())</f>
        <v>36</v>
      </c>
      <c r="F123" s="53" cm="1">
        <f t="array" aca="1" ref="F123" ca="1">IF(ISNUMBER(_xll.VoseSimMean(Pois_11)),_xll.VoseSimMean(Pois_11),NA())</f>
        <v>29.261113055652782</v>
      </c>
    </row>
    <row r="124" spans="2:6" hidden="1" outlineLevel="1" x14ac:dyDescent="0.45">
      <c r="B124" s="54" t="s">
        <v>185</v>
      </c>
      <c r="C124" s="53" cm="1">
        <f t="array" aca="1" ref="C124" ca="1">IF(ISNUMBER(_xll.VoseSimPercentile(Pois_12,0.1)),_xll.VoseSimPercentile(Pois_12,0.1),NA())</f>
        <v>22</v>
      </c>
      <c r="D124" s="53" cm="1">
        <f t="array" aca="1" ref="D124" ca="1">IF(ISNUMBER(_xll.VoseSimPercentile(Pois_12,0.5)),_xll.VoseSimPercentile(Pois_12,0.5),NA())</f>
        <v>29</v>
      </c>
      <c r="E124" s="53" cm="1">
        <f t="array" aca="1" ref="E124" ca="1">IF(ISNUMBER(_xll.VoseSimPercentile(Pois_12,0.9)),_xll.VoseSimPercentile(Pois_12,0.9),NA())</f>
        <v>36</v>
      </c>
      <c r="F124" s="53" cm="1">
        <f t="array" aca="1" ref="F124" ca="1">IF(ISNUMBER(_xll.VoseSimMean(Pois_12)),_xll.VoseSimMean(Pois_12),NA())</f>
        <v>29.306965348267415</v>
      </c>
    </row>
    <row r="125" spans="2:6" hidden="1" outlineLevel="1" x14ac:dyDescent="0.45">
      <c r="B125" s="54" t="s">
        <v>186</v>
      </c>
      <c r="C125" s="53" cm="1">
        <f t="array" aca="1" ref="C125" ca="1">IF(ISNUMBER(_xll.VoseSimPercentile(Pois_13,0.1)),_xll.VoseSimPercentile(Pois_13,0.1),NA())</f>
        <v>23</v>
      </c>
      <c r="D125" s="53" cm="1">
        <f t="array" aca="1" ref="D125" ca="1">IF(ISNUMBER(_xll.VoseSimPercentile(Pois_13,0.5)),_xll.VoseSimPercentile(Pois_13,0.5),NA())</f>
        <v>29</v>
      </c>
      <c r="E125" s="53" cm="1">
        <f t="array" aca="1" ref="E125" ca="1">IF(ISNUMBER(_xll.VoseSimPercentile(Pois_13,0.9)),_xll.VoseSimPercentile(Pois_13,0.9),NA())</f>
        <v>37</v>
      </c>
      <c r="F125" s="53" cm="1">
        <f t="array" aca="1" ref="F125" ca="1">IF(ISNUMBER(_xll.VoseSimMean(Pois_13)),_xll.VoseSimMean(Pois_13),NA())</f>
        <v>29.476373818690934</v>
      </c>
    </row>
    <row r="126" spans="2:6" hidden="1" outlineLevel="1" x14ac:dyDescent="0.45">
      <c r="B126" s="54" t="s">
        <v>187</v>
      </c>
      <c r="C126" s="53" cm="1">
        <f t="array" aca="1" ref="C126" ca="1">IF(ISNUMBER(_xll.VoseSimPercentile(Pois_14,0.1)),_xll.VoseSimPercentile(Pois_14,0.1),NA())</f>
        <v>23</v>
      </c>
      <c r="D126" s="53" cm="1">
        <f t="array" aca="1" ref="D126" ca="1">IF(ISNUMBER(_xll.VoseSimPercentile(Pois_14,0.5)),_xll.VoseSimPercentile(Pois_14,0.5),NA())</f>
        <v>30</v>
      </c>
      <c r="E126" s="53" cm="1">
        <f t="array" aca="1" ref="E126" ca="1">IF(ISNUMBER(_xll.VoseSimPercentile(Pois_14,0.9)),_xll.VoseSimPercentile(Pois_14,0.9),NA())</f>
        <v>37</v>
      </c>
      <c r="F126" s="53" cm="1">
        <f t="array" aca="1" ref="F126" ca="1">IF(ISNUMBER(_xll.VoseSimMean(Pois_14)),_xll.VoseSimMean(Pois_14),NA())</f>
        <v>29.793439671983599</v>
      </c>
    </row>
    <row r="127" spans="2:6" hidden="1" outlineLevel="1" x14ac:dyDescent="0.45">
      <c r="B127" s="54" t="s">
        <v>188</v>
      </c>
      <c r="C127" s="53" cm="1">
        <f t="array" aca="1" ref="C127" ca="1">IF(ISNUMBER(_xll.VoseSimPercentile(Pois_15,0.1)),_xll.VoseSimPercentile(Pois_15,0.1),NA())</f>
        <v>23</v>
      </c>
      <c r="D127" s="53" cm="1">
        <f t="array" aca="1" ref="D127" ca="1">IF(ISNUMBER(_xll.VoseSimPercentile(Pois_15,0.5)),_xll.VoseSimPercentile(Pois_15,0.5),NA())</f>
        <v>30</v>
      </c>
      <c r="E127" s="53" cm="1">
        <f t="array" aca="1" ref="E127" ca="1">IF(ISNUMBER(_xll.VoseSimPercentile(Pois_15,0.9)),_xll.VoseSimPercentile(Pois_15,0.9),NA())</f>
        <v>37</v>
      </c>
      <c r="F127" s="53" cm="1">
        <f t="array" aca="1" ref="F127" ca="1">IF(ISNUMBER(_xll.VoseSimMean(Pois_15)),_xll.VoseSimMean(Pois_15),NA())</f>
        <v>29.90339516975849</v>
      </c>
    </row>
    <row r="128" spans="2:6" hidden="1" outlineLevel="1" x14ac:dyDescent="0.45">
      <c r="B128" s="54" t="s">
        <v>189</v>
      </c>
      <c r="C128" s="53" cm="1">
        <f t="array" aca="1" ref="C128" ca="1">IF(ISNUMBER(_xll.VoseSimPercentile(Pois_16,0.1)),_xll.VoseSimPercentile(Pois_16,0.1),NA())</f>
        <v>23</v>
      </c>
      <c r="D128" s="53" cm="1">
        <f t="array" aca="1" ref="D128" ca="1">IF(ISNUMBER(_xll.VoseSimPercentile(Pois_16,0.5)),_xll.VoseSimPercentile(Pois_16,0.5),NA())</f>
        <v>30</v>
      </c>
      <c r="E128" s="53" cm="1">
        <f t="array" aca="1" ref="E128" ca="1">IF(ISNUMBER(_xll.VoseSimPercentile(Pois_16,0.9)),_xll.VoseSimPercentile(Pois_16,0.9),NA())</f>
        <v>37</v>
      </c>
      <c r="F128" s="53" cm="1">
        <f t="array" aca="1" ref="F128" ca="1">IF(ISNUMBER(_xll.VoseSimMean(Pois_16)),_xll.VoseSimMean(Pois_16),NA())</f>
        <v>30.233511675583781</v>
      </c>
    </row>
    <row r="129" spans="2:6" hidden="1" outlineLevel="1" x14ac:dyDescent="0.45">
      <c r="B129" s="54" t="s">
        <v>190</v>
      </c>
      <c r="C129" s="53" cm="1">
        <f t="array" aca="1" ref="C129" ca="1">IF(ISNUMBER(_xll.VoseSimPercentile(Pois_17,0.1)),_xll.VoseSimPercentile(Pois_17,0.1),NA())</f>
        <v>23</v>
      </c>
      <c r="D129" s="53" cm="1">
        <f t="array" aca="1" ref="D129" ca="1">IF(ISNUMBER(_xll.VoseSimPercentile(Pois_17,0.5)),_xll.VoseSimPercentile(Pois_17,0.5),NA())</f>
        <v>30</v>
      </c>
      <c r="E129" s="53" cm="1">
        <f t="array" aca="1" ref="E129" ca="1">IF(ISNUMBER(_xll.VoseSimPercentile(Pois_17,0.9)),_xll.VoseSimPercentile(Pois_17,0.9),NA())</f>
        <v>38</v>
      </c>
      <c r="F129" s="53" cm="1">
        <f t="array" aca="1" ref="F129" ca="1">IF(ISNUMBER(_xll.VoseSimMean(Pois_17)),_xll.VoseSimMean(Pois_17),NA())</f>
        <v>30.356767838391921</v>
      </c>
    </row>
    <row r="130" spans="2:6" hidden="1" outlineLevel="1" x14ac:dyDescent="0.45">
      <c r="B130" s="54" t="s">
        <v>191</v>
      </c>
      <c r="C130" s="53" cm="1">
        <f t="array" aca="1" ref="C130" ca="1">IF(ISNUMBER(_xll.VoseSimPercentile(Pois_18,0.1)),_xll.VoseSimPercentile(Pois_18,0.1),NA())</f>
        <v>24</v>
      </c>
      <c r="D130" s="53" cm="1">
        <f t="array" aca="1" ref="D130" ca="1">IF(ISNUMBER(_xll.VoseSimPercentile(Pois_18,0.5)),_xll.VoseSimPercentile(Pois_18,0.5),NA())</f>
        <v>30</v>
      </c>
      <c r="E130" s="53" cm="1">
        <f t="array" aca="1" ref="E130" ca="1">IF(ISNUMBER(_xll.VoseSimPercentile(Pois_18,0.9)),_xll.VoseSimPercentile(Pois_18,0.9),NA())</f>
        <v>38</v>
      </c>
      <c r="F130" s="53" cm="1">
        <f t="array" aca="1" ref="F130" ca="1">IF(ISNUMBER(_xll.VoseSimMean(Pois_18)),_xll.VoseSimMean(Pois_18),NA())</f>
        <v>30.582579128956446</v>
      </c>
    </row>
    <row r="131" spans="2:6" hidden="1" outlineLevel="1" x14ac:dyDescent="0.45">
      <c r="B131" s="54" t="s">
        <v>192</v>
      </c>
      <c r="C131" s="53" cm="1">
        <f t="array" aca="1" ref="C131" ca="1">IF(ISNUMBER(_xll.VoseSimPercentile(Pois_19,0.1)),_xll.VoseSimPercentile(Pois_19,0.1),NA())</f>
        <v>24</v>
      </c>
      <c r="D131" s="53" cm="1">
        <f t="array" aca="1" ref="D131" ca="1">IF(ISNUMBER(_xll.VoseSimPercentile(Pois_19,0.5)),_xll.VoseSimPercentile(Pois_19,0.5),NA())</f>
        <v>31</v>
      </c>
      <c r="E131" s="53" cm="1">
        <f t="array" aca="1" ref="E131" ca="1">IF(ISNUMBER(_xll.VoseSimPercentile(Pois_19,0.9)),_xll.VoseSimPercentile(Pois_19,0.9),NA())</f>
        <v>38</v>
      </c>
      <c r="F131" s="53" cm="1">
        <f t="array" aca="1" ref="F131" ca="1">IF(ISNUMBER(_xll.VoseSimMean(Pois_19)),_xll.VoseSimMean(Pois_19),NA())</f>
        <v>30.842742137106857</v>
      </c>
    </row>
    <row r="132" spans="2:6" hidden="1" outlineLevel="1" x14ac:dyDescent="0.45">
      <c r="B132" s="54" t="s">
        <v>193</v>
      </c>
      <c r="C132" s="53" cm="1">
        <f t="array" aca="1" ref="C132" ca="1">IF(ISNUMBER(_xll.VoseSimPercentile(Pois_20,0.1)),_xll.VoseSimPercentile(Pois_20,0.1),NA())</f>
        <v>24</v>
      </c>
      <c r="D132" s="53" cm="1">
        <f t="array" aca="1" ref="D132" ca="1">IF(ISNUMBER(_xll.VoseSimPercentile(Pois_20,0.5)),_xll.VoseSimPercentile(Pois_20,0.5),NA())</f>
        <v>31</v>
      </c>
      <c r="E132" s="53" cm="1">
        <f t="array" aca="1" ref="E132" ca="1">IF(ISNUMBER(_xll.VoseSimPercentile(Pois_20,0.9)),_xll.VoseSimPercentile(Pois_20,0.9),NA())</f>
        <v>38</v>
      </c>
      <c r="F132" s="53" cm="1">
        <f t="array" aca="1" ref="F132" ca="1">IF(ISNUMBER(_xll.VoseSimMean(Pois_20)),_xll.VoseSimMean(Pois_20),NA())</f>
        <v>30.909095454772739</v>
      </c>
    </row>
    <row r="133" spans="2:6" hidden="1" outlineLevel="1" x14ac:dyDescent="0.45">
      <c r="B133" s="54" t="s">
        <v>194</v>
      </c>
      <c r="C133" s="53" cm="1">
        <f t="array" aca="1" ref="C133" ca="1">IF(ISNUMBER(_xll.VoseSimPercentile(Pois_21,0.1)),_xll.VoseSimPercentile(Pois_21,0.1),NA())</f>
        <v>24</v>
      </c>
      <c r="D133" s="53" cm="1">
        <f t="array" aca="1" ref="D133" ca="1">IF(ISNUMBER(_xll.VoseSimPercentile(Pois_21,0.5)),_xll.VoseSimPercentile(Pois_21,0.5),NA())</f>
        <v>31</v>
      </c>
      <c r="E133" s="53" cm="1">
        <f t="array" aca="1" ref="E133" ca="1">IF(ISNUMBER(_xll.VoseSimPercentile(Pois_21,0.9)),_xll.VoseSimPercentile(Pois_21,0.9),NA())</f>
        <v>38</v>
      </c>
      <c r="F133" s="53" cm="1">
        <f t="array" aca="1" ref="F133" ca="1">IF(ISNUMBER(_xll.VoseSimMean(Pois_21)),_xll.VoseSimMean(Pois_21),NA())</f>
        <v>31.040352017600881</v>
      </c>
    </row>
    <row r="134" spans="2:6" hidden="1" outlineLevel="1" x14ac:dyDescent="0.45">
      <c r="B134" s="54" t="s">
        <v>195</v>
      </c>
      <c r="C134" s="53" cm="1">
        <f t="array" aca="1" ref="C134" ca="1">IF(ISNUMBER(_xll.VoseSimPercentile(Pois_22,0.1)),_xll.VoseSimPercentile(Pois_22,0.1),NA())</f>
        <v>24</v>
      </c>
      <c r="D134" s="53" cm="1">
        <f t="array" aca="1" ref="D134" ca="1">IF(ISNUMBER(_xll.VoseSimPercentile(Pois_22,0.5)),_xll.VoseSimPercentile(Pois_22,0.5),NA())</f>
        <v>31</v>
      </c>
      <c r="E134" s="53" cm="1">
        <f t="array" aca="1" ref="E134" ca="1">IF(ISNUMBER(_xll.VoseSimPercentile(Pois_22,0.9)),_xll.VoseSimPercentile(Pois_22,0.9),NA())</f>
        <v>39</v>
      </c>
      <c r="F134" s="53" cm="1">
        <f t="array" aca="1" ref="F134" ca="1">IF(ISNUMBER(_xll.VoseSimMean(Pois_22)),_xll.VoseSimMean(Pois_22),NA())</f>
        <v>31.460673033651684</v>
      </c>
    </row>
    <row r="135" spans="2:6" hidden="1" outlineLevel="1" x14ac:dyDescent="0.45">
      <c r="B135" s="54" t="s">
        <v>196</v>
      </c>
      <c r="C135" s="53" cm="1">
        <f t="array" aca="1" ref="C135" ca="1">IF(ISNUMBER(_xll.VoseSimPercentile(Pois_23,0.1)),_xll.VoseSimPercentile(Pois_23,0.1),NA())</f>
        <v>25</v>
      </c>
      <c r="D135" s="53" cm="1">
        <f t="array" aca="1" ref="D135" ca="1">IF(ISNUMBER(_xll.VoseSimPercentile(Pois_23,0.5)),_xll.VoseSimPercentile(Pois_23,0.5),NA())</f>
        <v>31</v>
      </c>
      <c r="E135" s="53" cm="1">
        <f t="array" aca="1" ref="E135" ca="1">IF(ISNUMBER(_xll.VoseSimPercentile(Pois_23,0.9)),_xll.VoseSimPercentile(Pois_23,0.9),NA())</f>
        <v>39</v>
      </c>
      <c r="F135" s="53" cm="1">
        <f t="array" aca="1" ref="F135" ca="1">IF(ISNUMBER(_xll.VoseSimMean(Pois_23)),_xll.VoseSimMean(Pois_23),NA())</f>
        <v>31.572728636431822</v>
      </c>
    </row>
    <row r="136" spans="2:6" hidden="1" outlineLevel="1" x14ac:dyDescent="0.45">
      <c r="B136" s="54" t="s">
        <v>197</v>
      </c>
      <c r="C136" s="53" cm="1">
        <f t="array" aca="1" ref="C136" ca="1">IF(ISNUMBER(_xll.VoseSimPercentile(Pois_24,0.1)),_xll.VoseSimPercentile(Pois_24,0.1),NA())</f>
        <v>25</v>
      </c>
      <c r="D136" s="53" cm="1">
        <f t="array" aca="1" ref="D136" ca="1">IF(ISNUMBER(_xll.VoseSimPercentile(Pois_24,0.5)),_xll.VoseSimPercentile(Pois_24,0.5),NA())</f>
        <v>32</v>
      </c>
      <c r="E136" s="53" cm="1">
        <f t="array" aca="1" ref="E136" ca="1">IF(ISNUMBER(_xll.VoseSimPercentile(Pois_24,0.9)),_xll.VoseSimPercentile(Pois_24,0.9),NA())</f>
        <v>39</v>
      </c>
      <c r="F136" s="53" cm="1">
        <f t="array" aca="1" ref="F136" ca="1">IF(ISNUMBER(_xll.VoseSimMean(Pois_24)),_xll.VoseSimMean(Pois_24),NA())</f>
        <v>31.779738986949347</v>
      </c>
    </row>
    <row r="137" spans="2:6" hidden="1" outlineLevel="1" x14ac:dyDescent="0.45">
      <c r="B137" s="54" t="s">
        <v>198</v>
      </c>
      <c r="C137" s="53" cm="1">
        <f t="array" aca="1" ref="C137" ca="1">IF(ISNUMBER(_xll.VoseSimPercentile(Pois_25,0.1)),_xll.VoseSimPercentile(Pois_25,0.1),NA())</f>
        <v>25</v>
      </c>
      <c r="D137" s="53" cm="1">
        <f t="array" aca="1" ref="D137" ca="1">IF(ISNUMBER(_xll.VoseSimPercentile(Pois_25,0.5)),_xll.VoseSimPercentile(Pois_25,0.5),NA())</f>
        <v>32</v>
      </c>
      <c r="E137" s="53" cm="1">
        <f t="array" aca="1" ref="E137" ca="1">IF(ISNUMBER(_xll.VoseSimPercentile(Pois_25,0.9)),_xll.VoseSimPercentile(Pois_25,0.9),NA())</f>
        <v>39</v>
      </c>
      <c r="F137" s="53" cm="1">
        <f t="array" aca="1" ref="F137" ca="1">IF(ISNUMBER(_xll.VoseSimMean(Pois_25)),_xll.VoseSimMean(Pois_25),NA())</f>
        <v>32.023351167558381</v>
      </c>
    </row>
    <row r="138" spans="2:6" hidden="1" outlineLevel="1" x14ac:dyDescent="0.45">
      <c r="B138" s="54" t="s">
        <v>199</v>
      </c>
      <c r="C138" s="53" cm="1">
        <f t="array" aca="1" ref="C138" ca="1">IF(ISNUMBER(_xll.VoseSimPercentile(Pois_26,0.1)),_xll.VoseSimPercentile(Pois_26,0.1),NA())</f>
        <v>25</v>
      </c>
      <c r="D138" s="53" cm="1">
        <f t="array" aca="1" ref="D138" ca="1">IF(ISNUMBER(_xll.VoseSimPercentile(Pois_26,0.5)),_xll.VoseSimPercentile(Pois_26,0.5),NA())</f>
        <v>32</v>
      </c>
      <c r="E138" s="53" cm="1">
        <f t="array" aca="1" ref="E138" ca="1">IF(ISNUMBER(_xll.VoseSimPercentile(Pois_26,0.9)),_xll.VoseSimPercentile(Pois_26,0.9),NA())</f>
        <v>39</v>
      </c>
      <c r="F138" s="53" cm="1">
        <f t="array" aca="1" ref="F138" ca="1">IF(ISNUMBER(_xll.VoseSimMean(Pois_26)),_xll.VoseSimMean(Pois_26),NA())</f>
        <v>32.143307165358266</v>
      </c>
    </row>
    <row r="139" spans="2:6" hidden="1" outlineLevel="1" x14ac:dyDescent="0.45">
      <c r="B139" s="54" t="s">
        <v>200</v>
      </c>
      <c r="C139" s="53" cm="1">
        <f t="array" aca="1" ref="C139" ca="1">IF(ISNUMBER(_xll.VoseSimPercentile(Pois_27,0.1)),_xll.VoseSimPercentile(Pois_27,0.1),NA())</f>
        <v>25</v>
      </c>
      <c r="D139" s="53" cm="1">
        <f t="array" aca="1" ref="D139" ca="1">IF(ISNUMBER(_xll.VoseSimPercentile(Pois_27,0.5)),_xll.VoseSimPercentile(Pois_27,0.5),NA())</f>
        <v>32</v>
      </c>
      <c r="E139" s="53" cm="1">
        <f t="array" aca="1" ref="E139" ca="1">IF(ISNUMBER(_xll.VoseSimPercentile(Pois_27,0.9)),_xll.VoseSimPercentile(Pois_27,0.9),NA())</f>
        <v>40</v>
      </c>
      <c r="F139" s="53" cm="1">
        <f t="array" aca="1" ref="F139" ca="1">IF(ISNUMBER(_xll.VoseSimMean(Pois_27)),_xll.VoseSimMean(Pois_27),NA())</f>
        <v>32.372068603430172</v>
      </c>
    </row>
    <row r="140" spans="2:6" hidden="1" outlineLevel="1" x14ac:dyDescent="0.45">
      <c r="B140" s="54" t="s">
        <v>201</v>
      </c>
      <c r="C140" s="53" cm="1">
        <f t="array" aca="1" ref="C140" ca="1">IF(ISNUMBER(_xll.VoseSimPercentile(Pois_28,0.1)),_xll.VoseSimPercentile(Pois_28,0.1),NA())</f>
        <v>25</v>
      </c>
      <c r="D140" s="53" cm="1">
        <f t="array" aca="1" ref="D140" ca="1">IF(ISNUMBER(_xll.VoseSimPercentile(Pois_28,0.5)),_xll.VoseSimPercentile(Pois_28,0.5),NA())</f>
        <v>32</v>
      </c>
      <c r="E140" s="53" cm="1">
        <f t="array" aca="1" ref="E140" ca="1">IF(ISNUMBER(_xll.VoseSimPercentile(Pois_28,0.9)),_xll.VoseSimPercentile(Pois_28,0.9),NA())</f>
        <v>40</v>
      </c>
      <c r="F140" s="53" cm="1">
        <f t="array" aca="1" ref="F140" ca="1">IF(ISNUMBER(_xll.VoseSimMean(Pois_28)),_xll.VoseSimMean(Pois_28),NA())</f>
        <v>32.571828591429572</v>
      </c>
    </row>
    <row r="141" spans="2:6" hidden="1" outlineLevel="1" x14ac:dyDescent="0.45">
      <c r="B141" s="54" t="s">
        <v>202</v>
      </c>
      <c r="C141" s="53" cm="1">
        <f t="array" aca="1" ref="C141" ca="1">IF(ISNUMBER(_xll.VoseSimPercentile(Pois_29,0.1)),_xll.VoseSimPercentile(Pois_29,0.1),NA())</f>
        <v>26</v>
      </c>
      <c r="D141" s="53" cm="1">
        <f t="array" aca="1" ref="D141" ca="1">IF(ISNUMBER(_xll.VoseSimPercentile(Pois_29,0.5)),_xll.VoseSimPercentile(Pois_29,0.5),NA())</f>
        <v>33</v>
      </c>
      <c r="E141" s="53" cm="1">
        <f t="array" aca="1" ref="E141" ca="1">IF(ISNUMBER(_xll.VoseSimPercentile(Pois_29,0.9)),_xll.VoseSimPercentile(Pois_29,0.9),NA())</f>
        <v>40</v>
      </c>
      <c r="F141" s="53" cm="1">
        <f t="array" aca="1" ref="F141" ca="1">IF(ISNUMBER(_xll.VoseSimMean(Pois_29)),_xll.VoseSimMean(Pois_29),NA())</f>
        <v>32.860943047152361</v>
      </c>
    </row>
    <row r="142" spans="2:6" hidden="1" outlineLevel="1" x14ac:dyDescent="0.45">
      <c r="B142" s="54" t="s">
        <v>203</v>
      </c>
      <c r="C142" s="53" cm="1">
        <f t="array" aca="1" ref="C142" ca="1">IF(ISNUMBER(_xll.VoseSimPercentile(Pois_30,0.1)),_xll.VoseSimPercentile(Pois_30,0.1),NA())</f>
        <v>26</v>
      </c>
      <c r="D142" s="53" cm="1">
        <f t="array" aca="1" ref="D142" ca="1">IF(ISNUMBER(_xll.VoseSimPercentile(Pois_30,0.5)),_xll.VoseSimPercentile(Pois_30,0.5),NA())</f>
        <v>33</v>
      </c>
      <c r="E142" s="53" cm="1">
        <f t="array" aca="1" ref="E142" ca="1">IF(ISNUMBER(_xll.VoseSimPercentile(Pois_30,0.9)),_xll.VoseSimPercentile(Pois_30,0.9),NA())</f>
        <v>40</v>
      </c>
      <c r="F142" s="53" cm="1">
        <f t="array" aca="1" ref="F142" ca="1">IF(ISNUMBER(_xll.VoseSimMean(Pois_30)),_xll.VoseSimMean(Pois_30),NA())</f>
        <v>32.994149707485377</v>
      </c>
    </row>
    <row r="143" spans="2:6" hidden="1" outlineLevel="1" x14ac:dyDescent="0.45">
      <c r="B143" s="54" t="s">
        <v>204</v>
      </c>
      <c r="C143" s="53" cm="1">
        <f t="array" aca="1" ref="C143" ca="1">IF(ISNUMBER(_xll.VoseSimPercentile(Pois_31,0.1)),_xll.VoseSimPercentile(Pois_31,0.1),NA())</f>
        <v>26</v>
      </c>
      <c r="D143" s="53" cm="1">
        <f t="array" aca="1" ref="D143" ca="1">IF(ISNUMBER(_xll.VoseSimPercentile(Pois_31,0.5)),_xll.VoseSimPercentile(Pois_31,0.5),NA())</f>
        <v>33</v>
      </c>
      <c r="E143" s="53" cm="1">
        <f t="array" aca="1" ref="E143" ca="1">IF(ISNUMBER(_xll.VoseSimPercentile(Pois_31,0.9)),_xll.VoseSimPercentile(Pois_31,0.9),NA())</f>
        <v>41</v>
      </c>
      <c r="F143" s="53" cm="1">
        <f t="array" aca="1" ref="F143" ca="1">IF(ISNUMBER(_xll.VoseSimMean(Pois_31)),_xll.VoseSimMean(Pois_31),NA())</f>
        <v>33.204860243012149</v>
      </c>
    </row>
    <row r="144" spans="2:6" hidden="1" outlineLevel="1" x14ac:dyDescent="0.45">
      <c r="B144" s="54" t="s">
        <v>205</v>
      </c>
      <c r="C144" s="53" cm="1">
        <f t="array" aca="1" ref="C144" ca="1">IF(ISNUMBER(_xll.VoseSimPercentile(Pois_32,0.1)),_xll.VoseSimPercentile(Pois_32,0.1),NA())</f>
        <v>26</v>
      </c>
      <c r="D144" s="53" cm="1">
        <f t="array" aca="1" ref="D144" ca="1">IF(ISNUMBER(_xll.VoseSimPercentile(Pois_32,0.5)),_xll.VoseSimPercentile(Pois_32,0.5),NA())</f>
        <v>33</v>
      </c>
      <c r="E144" s="53" cm="1">
        <f t="array" aca="1" ref="E144" ca="1">IF(ISNUMBER(_xll.VoseSimPercentile(Pois_32,0.9)),_xll.VoseSimPercentile(Pois_32,0.9),NA())</f>
        <v>41</v>
      </c>
      <c r="F144" s="53" cm="1">
        <f t="array" aca="1" ref="F144" ca="1">IF(ISNUMBER(_xll.VoseSimMean(Pois_32)),_xll.VoseSimMean(Pois_32),NA())</f>
        <v>33.418170908545427</v>
      </c>
    </row>
    <row r="145" spans="2:6" hidden="1" outlineLevel="1" x14ac:dyDescent="0.45">
      <c r="B145" s="54" t="s">
        <v>206</v>
      </c>
      <c r="C145" s="53" cm="1">
        <f t="array" aca="1" ref="C145" ca="1">IF(ISNUMBER(_xll.VoseSimPercentile(Pois_33,0.1)),_xll.VoseSimPercentile(Pois_33,0.1),NA())</f>
        <v>26</v>
      </c>
      <c r="D145" s="53" cm="1">
        <f t="array" aca="1" ref="D145" ca="1">IF(ISNUMBER(_xll.VoseSimPercentile(Pois_33,0.5)),_xll.VoseSimPercentile(Pois_33,0.5),NA())</f>
        <v>33</v>
      </c>
      <c r="E145" s="53" cm="1">
        <f t="array" aca="1" ref="E145" ca="1">IF(ISNUMBER(_xll.VoseSimPercentile(Pois_33,0.9)),_xll.VoseSimPercentile(Pois_33,0.9),NA())</f>
        <v>41</v>
      </c>
      <c r="F145" s="53" cm="1">
        <f t="array" aca="1" ref="F145" ca="1">IF(ISNUMBER(_xll.VoseSimMean(Pois_33)),_xll.VoseSimMean(Pois_33),NA())</f>
        <v>33.482424121206058</v>
      </c>
    </row>
    <row r="146" spans="2:6" hidden="1" outlineLevel="1" x14ac:dyDescent="0.45">
      <c r="B146" s="54" t="s">
        <v>207</v>
      </c>
      <c r="C146" s="53" cm="1">
        <f t="array" aca="1" ref="C146" ca="1">IF(ISNUMBER(_xll.VoseSimPercentile(Pois_34,0.1)),_xll.VoseSimPercentile(Pois_34,0.1),NA())</f>
        <v>26</v>
      </c>
      <c r="D146" s="53" cm="1">
        <f t="array" aca="1" ref="D146" ca="1">IF(ISNUMBER(_xll.VoseSimPercentile(Pois_34,0.5)),_xll.VoseSimPercentile(Pois_34,0.5),NA())</f>
        <v>34</v>
      </c>
      <c r="E146" s="53" cm="1">
        <f t="array" aca="1" ref="E146" ca="1">IF(ISNUMBER(_xll.VoseSimPercentile(Pois_34,0.9)),_xll.VoseSimPercentile(Pois_34,0.9),NA())</f>
        <v>42</v>
      </c>
      <c r="F146" s="53" cm="1">
        <f t="array" aca="1" ref="F146" ca="1">IF(ISNUMBER(_xll.VoseSimMean(Pois_34)),_xll.VoseSimMean(Pois_34),NA())</f>
        <v>33.7738386919346</v>
      </c>
    </row>
    <row r="147" spans="2:6" hidden="1" outlineLevel="1" x14ac:dyDescent="0.45">
      <c r="B147" s="54" t="s">
        <v>208</v>
      </c>
      <c r="C147" s="53" cm="1">
        <f t="array" aca="1" ref="C147" ca="1">IF(ISNUMBER(_xll.VoseSimPercentile(Pois_35,0.1)),_xll.VoseSimPercentile(Pois_35,0.1),NA())</f>
        <v>27</v>
      </c>
      <c r="D147" s="53" cm="1">
        <f t="array" aca="1" ref="D147" ca="1">IF(ISNUMBER(_xll.VoseSimPercentile(Pois_35,0.5)),_xll.VoseSimPercentile(Pois_35,0.5),NA())</f>
        <v>34</v>
      </c>
      <c r="E147" s="53" cm="1">
        <f t="array" aca="1" ref="E147" ca="1">IF(ISNUMBER(_xll.VoseSimPercentile(Pois_35,0.9)),_xll.VoseSimPercentile(Pois_35,0.9),NA())</f>
        <v>42</v>
      </c>
      <c r="F147" s="53" cm="1">
        <f t="array" aca="1" ref="F147" ca="1">IF(ISNUMBER(_xll.VoseSimMean(Pois_35)),_xll.VoseSimMean(Pois_35),NA())</f>
        <v>33.996499824991247</v>
      </c>
    </row>
    <row r="148" spans="2:6" hidden="1" outlineLevel="1" x14ac:dyDescent="0.45">
      <c r="B148" s="54" t="s">
        <v>209</v>
      </c>
      <c r="C148" s="53" cm="1">
        <f t="array" aca="1" ref="C148" ca="1">IF(ISNUMBER(_xll.VoseSimPercentile(Pois_36,0.1)),_xll.VoseSimPercentile(Pois_36,0.1),NA())</f>
        <v>27</v>
      </c>
      <c r="D148" s="53" cm="1">
        <f t="array" aca="1" ref="D148" ca="1">IF(ISNUMBER(_xll.VoseSimPercentile(Pois_36,0.5)),_xll.VoseSimPercentile(Pois_36,0.5),NA())</f>
        <v>34</v>
      </c>
      <c r="E148" s="53" cm="1">
        <f t="array" aca="1" ref="E148" ca="1">IF(ISNUMBER(_xll.VoseSimPercentile(Pois_36,0.9)),_xll.VoseSimPercentile(Pois_36,0.9),NA())</f>
        <v>42</v>
      </c>
      <c r="F148" s="53" cm="1">
        <f t="array" aca="1" ref="F148" ca="1">IF(ISNUMBER(_xll.VoseSimMean(Pois_36)),_xll.VoseSimMean(Pois_36),NA())</f>
        <v>34.265663283164159</v>
      </c>
    </row>
    <row r="149" spans="2:6" hidden="1" outlineLevel="1" x14ac:dyDescent="0.45">
      <c r="B149" s="54" t="s">
        <v>210</v>
      </c>
      <c r="C149" s="53" cm="1">
        <f t="array" aca="1" ref="C149" ca="1">IF(ISNUMBER(_xll.VoseSimPercentile(Pois_37,0.1)),_xll.VoseSimPercentile(Pois_37,0.1),NA())</f>
        <v>27</v>
      </c>
      <c r="D149" s="53" cm="1">
        <f t="array" aca="1" ref="D149" ca="1">IF(ISNUMBER(_xll.VoseSimPercentile(Pois_37,0.5)),_xll.VoseSimPercentile(Pois_37,0.5),NA())</f>
        <v>34</v>
      </c>
      <c r="E149" s="53" cm="1">
        <f t="array" aca="1" ref="E149" ca="1">IF(ISNUMBER(_xll.VoseSimPercentile(Pois_37,0.9)),_xll.VoseSimPercentile(Pois_37,0.9),NA())</f>
        <v>42</v>
      </c>
      <c r="F149" s="53" cm="1">
        <f t="array" aca="1" ref="F149" ca="1">IF(ISNUMBER(_xll.VoseSimMean(Pois_37)),_xll.VoseSimMean(Pois_37),NA())</f>
        <v>34.41537076853843</v>
      </c>
    </row>
    <row r="150" spans="2:6" hidden="1" outlineLevel="1" x14ac:dyDescent="0.45">
      <c r="B150" s="54" t="s">
        <v>211</v>
      </c>
      <c r="C150" s="53" cm="1">
        <f t="array" aca="1" ref="C150" ca="1">IF(ISNUMBER(_xll.VoseSimPercentile(Pois_38,0.1)),_xll.VoseSimPercentile(Pois_38,0.1),NA())</f>
        <v>27</v>
      </c>
      <c r="D150" s="53" cm="1">
        <f t="array" aca="1" ref="D150" ca="1">IF(ISNUMBER(_xll.VoseSimPercentile(Pois_38,0.5)),_xll.VoseSimPercentile(Pois_38,0.5),NA())</f>
        <v>34</v>
      </c>
      <c r="E150" s="53" cm="1">
        <f t="array" aca="1" ref="E150" ca="1">IF(ISNUMBER(_xll.VoseSimPercentile(Pois_38,0.9)),_xll.VoseSimPercentile(Pois_38,0.9),NA())</f>
        <v>42</v>
      </c>
      <c r="F150" s="53" cm="1">
        <f t="array" aca="1" ref="F150" ca="1">IF(ISNUMBER(_xll.VoseSimMean(Pois_38)),_xll.VoseSimMean(Pois_38),NA())</f>
        <v>34.612830641532078</v>
      </c>
    </row>
    <row r="151" spans="2:6" hidden="1" outlineLevel="1" x14ac:dyDescent="0.45">
      <c r="B151" s="54" t="s">
        <v>212</v>
      </c>
      <c r="C151" s="53" cm="1">
        <f t="array" aca="1" ref="C151" ca="1">IF(ISNUMBER(_xll.VoseSimPercentile(Pois_39,0.1)),_xll.VoseSimPercentile(Pois_39,0.1),NA())</f>
        <v>27</v>
      </c>
      <c r="D151" s="53" cm="1">
        <f t="array" aca="1" ref="D151" ca="1">IF(ISNUMBER(_xll.VoseSimPercentile(Pois_39,0.5)),_xll.VoseSimPercentile(Pois_39,0.5),NA())</f>
        <v>35</v>
      </c>
      <c r="E151" s="53" cm="1">
        <f t="array" aca="1" ref="E151" ca="1">IF(ISNUMBER(_xll.VoseSimPercentile(Pois_39,0.9)),_xll.VoseSimPercentile(Pois_39,0.9),NA())</f>
        <v>42</v>
      </c>
      <c r="F151" s="53" cm="1">
        <f t="array" aca="1" ref="F151" ca="1">IF(ISNUMBER(_xll.VoseSimMean(Pois_39)),_xll.VoseSimMean(Pois_39),NA())</f>
        <v>34.746887344367217</v>
      </c>
    </row>
    <row r="152" spans="2:6" hidden="1" outlineLevel="1" x14ac:dyDescent="0.45">
      <c r="B152" s="54" t="s">
        <v>213</v>
      </c>
      <c r="C152" s="53" cm="1">
        <f t="array" aca="1" ref="C152" ca="1">IF(ISNUMBER(_xll.VoseSimPercentile(Pois_40,0.1)),_xll.VoseSimPercentile(Pois_40,0.1),NA())</f>
        <v>28</v>
      </c>
      <c r="D152" s="53" cm="1">
        <f t="array" aca="1" ref="D152" ca="1">IF(ISNUMBER(_xll.VoseSimPercentile(Pois_40,0.5)),_xll.VoseSimPercentile(Pois_40,0.5),NA())</f>
        <v>35</v>
      </c>
      <c r="E152" s="53" cm="1">
        <f t="array" aca="1" ref="E152" ca="1">IF(ISNUMBER(_xll.VoseSimPercentile(Pois_40,0.9)),_xll.VoseSimPercentile(Pois_40,0.9),NA())</f>
        <v>43</v>
      </c>
      <c r="F152" s="53" cm="1">
        <f t="array" aca="1" ref="F152" ca="1">IF(ISNUMBER(_xll.VoseSimMean(Pois_40)),_xll.VoseSimMean(Pois_40),NA())</f>
        <v>34.971948597429872</v>
      </c>
    </row>
    <row r="153" spans="2:6" hidden="1" outlineLevel="1" x14ac:dyDescent="0.45">
      <c r="B153" s="54" t="s">
        <v>214</v>
      </c>
      <c r="C153" s="53" cm="1">
        <f t="array" aca="1" ref="C153" ca="1">IF(ISNUMBER(_xll.VoseSimPercentile(Pois_41,0.1)),_xll.VoseSimPercentile(Pois_41,0.1),NA())</f>
        <v>28</v>
      </c>
      <c r="D153" s="53" cm="1">
        <f t="array" aca="1" ref="D153" ca="1">IF(ISNUMBER(_xll.VoseSimPercentile(Pois_41,0.5)),_xll.VoseSimPercentile(Pois_41,0.5),NA())</f>
        <v>35</v>
      </c>
      <c r="E153" s="53" cm="1">
        <f t="array" aca="1" ref="E153" ca="1">IF(ISNUMBER(_xll.VoseSimPercentile(Pois_41,0.9)),_xll.VoseSimPercentile(Pois_41,0.9),NA())</f>
        <v>43</v>
      </c>
      <c r="F153" s="53" cm="1">
        <f t="array" aca="1" ref="F153" ca="1">IF(ISNUMBER(_xll.VoseSimMean(Pois_41)),_xll.VoseSimMean(Pois_41),NA())</f>
        <v>35.075753787689386</v>
      </c>
    </row>
    <row r="154" spans="2:6" hidden="1" outlineLevel="1" x14ac:dyDescent="0.45">
      <c r="B154" s="54" t="s">
        <v>215</v>
      </c>
      <c r="C154" s="53" cm="1">
        <f t="array" aca="1" ref="C154" ca="1">IF(ISNUMBER(_xll.VoseSimPercentile(Pois_42,0.1)),_xll.VoseSimPercentile(Pois_42,0.1),NA())</f>
        <v>28</v>
      </c>
      <c r="D154" s="53" cm="1">
        <f t="array" aca="1" ref="D154" ca="1">IF(ISNUMBER(_xll.VoseSimPercentile(Pois_42,0.5)),_xll.VoseSimPercentile(Pois_42,0.5),NA())</f>
        <v>35</v>
      </c>
      <c r="E154" s="53" cm="1">
        <f t="array" aca="1" ref="E154" ca="1">IF(ISNUMBER(_xll.VoseSimPercentile(Pois_42,0.9)),_xll.VoseSimPercentile(Pois_42,0.9),NA())</f>
        <v>43</v>
      </c>
      <c r="F154" s="53" cm="1">
        <f t="array" aca="1" ref="F154" ca="1">IF(ISNUMBER(_xll.VoseSimMean(Pois_42)),_xll.VoseSimMean(Pois_42),NA())</f>
        <v>35.452672633631678</v>
      </c>
    </row>
    <row r="155" spans="2:6" hidden="1" outlineLevel="1" x14ac:dyDescent="0.45">
      <c r="B155" s="54" t="s">
        <v>216</v>
      </c>
      <c r="C155" s="53" cm="1">
        <f t="array" aca="1" ref="C155" ca="1">IF(ISNUMBER(_xll.VoseSimPercentile(Pois_43,0.1)),_xll.VoseSimPercentile(Pois_43,0.1),NA())</f>
        <v>28</v>
      </c>
      <c r="D155" s="53" cm="1">
        <f t="array" aca="1" ref="D155" ca="1">IF(ISNUMBER(_xll.VoseSimPercentile(Pois_43,0.5)),_xll.VoseSimPercentile(Pois_43,0.5),NA())</f>
        <v>35</v>
      </c>
      <c r="E155" s="53" cm="1">
        <f t="array" aca="1" ref="E155" ca="1">IF(ISNUMBER(_xll.VoseSimPercentile(Pois_43,0.9)),_xll.VoseSimPercentile(Pois_43,0.9),NA())</f>
        <v>43</v>
      </c>
      <c r="F155" s="53" cm="1">
        <f t="array" aca="1" ref="F155" ca="1">IF(ISNUMBER(_xll.VoseSimMean(Pois_43)),_xll.VoseSimMean(Pois_43),NA())</f>
        <v>35.497274863743186</v>
      </c>
    </row>
    <row r="156" spans="2:6" hidden="1" outlineLevel="1" x14ac:dyDescent="0.45">
      <c r="B156" s="54" t="s">
        <v>217</v>
      </c>
      <c r="C156" s="53" cm="1">
        <f t="array" aca="1" ref="C156" ca="1">IF(ISNUMBER(_xll.VoseSimPercentile(Pois_44,0.1)),_xll.VoseSimPercentile(Pois_44,0.1),NA())</f>
        <v>28</v>
      </c>
      <c r="D156" s="53" cm="1">
        <f t="array" aca="1" ref="D156" ca="1">IF(ISNUMBER(_xll.VoseSimPercentile(Pois_44,0.5)),_xll.VoseSimPercentile(Pois_44,0.5),NA())</f>
        <v>36</v>
      </c>
      <c r="E156" s="53" cm="1">
        <f t="array" aca="1" ref="E156" ca="1">IF(ISNUMBER(_xll.VoseSimPercentile(Pois_44,0.9)),_xll.VoseSimPercentile(Pois_44,0.9),NA())</f>
        <v>43</v>
      </c>
      <c r="F156" s="53" cm="1">
        <f t="array" aca="1" ref="F156" ca="1">IF(ISNUMBER(_xll.VoseSimMean(Pois_44)),_xll.VoseSimMean(Pois_44),NA())</f>
        <v>35.703185159257963</v>
      </c>
    </row>
    <row r="157" spans="2:6" hidden="1" outlineLevel="1" x14ac:dyDescent="0.45">
      <c r="B157" s="54" t="s">
        <v>218</v>
      </c>
      <c r="C157" s="53" cm="1">
        <f t="array" aca="1" ref="C157" ca="1">IF(ISNUMBER(_xll.VoseSimPercentile(Pois_45,0.1)),_xll.VoseSimPercentile(Pois_45,0.1),NA())</f>
        <v>28</v>
      </c>
      <c r="D157" s="53" cm="1">
        <f t="array" aca="1" ref="D157" ca="1">IF(ISNUMBER(_xll.VoseSimPercentile(Pois_45,0.5)),_xll.VoseSimPercentile(Pois_45,0.5),NA())</f>
        <v>36</v>
      </c>
      <c r="E157" s="53" cm="1">
        <f t="array" aca="1" ref="E157" ca="1">IF(ISNUMBER(_xll.VoseSimPercentile(Pois_45,0.9)),_xll.VoseSimPercentile(Pois_45,0.9),NA())</f>
        <v>44</v>
      </c>
      <c r="F157" s="53" cm="1">
        <f t="array" aca="1" ref="F157" ca="1">IF(ISNUMBER(_xll.VoseSimMean(Pois_45)),_xll.VoseSimMean(Pois_45),NA())</f>
        <v>35.994549727486373</v>
      </c>
    </row>
    <row r="158" spans="2:6" hidden="1" outlineLevel="1" x14ac:dyDescent="0.45">
      <c r="B158" s="54" t="s">
        <v>219</v>
      </c>
      <c r="C158" s="53" cm="1">
        <f t="array" aca="1" ref="C158" ca="1">IF(ISNUMBER(_xll.VoseSimPercentile(Pois_46,0.1)),_xll.VoseSimPercentile(Pois_46,0.1),NA())</f>
        <v>29</v>
      </c>
      <c r="D158" s="53" cm="1">
        <f t="array" aca="1" ref="D158" ca="1">IF(ISNUMBER(_xll.VoseSimPercentile(Pois_46,0.5)),_xll.VoseSimPercentile(Pois_46,0.5),NA())</f>
        <v>36</v>
      </c>
      <c r="E158" s="53" cm="1">
        <f t="array" aca="1" ref="E158" ca="1">IF(ISNUMBER(_xll.VoseSimPercentile(Pois_46,0.9)),_xll.VoseSimPercentile(Pois_46,0.9),NA())</f>
        <v>44</v>
      </c>
      <c r="F158" s="53" cm="1">
        <f t="array" aca="1" ref="F158" ca="1">IF(ISNUMBER(_xll.VoseSimMean(Pois_46)),_xll.VoseSimMean(Pois_46),NA())</f>
        <v>36.172008600430019</v>
      </c>
    </row>
    <row r="159" spans="2:6" hidden="1" outlineLevel="1" x14ac:dyDescent="0.45">
      <c r="B159" s="54" t="s">
        <v>220</v>
      </c>
      <c r="C159" s="53" cm="1">
        <f t="array" aca="1" ref="C159" ca="1">IF(ISNUMBER(_xll.VoseSimPercentile(Pois_47,0.1)),_xll.VoseSimPercentile(Pois_47,0.1),NA())</f>
        <v>29</v>
      </c>
      <c r="D159" s="53" cm="1">
        <f t="array" aca="1" ref="D159" ca="1">IF(ISNUMBER(_xll.VoseSimPercentile(Pois_47,0.5)),_xll.VoseSimPercentile(Pois_47,0.5),NA())</f>
        <v>36</v>
      </c>
      <c r="E159" s="53" cm="1">
        <f t="array" aca="1" ref="E159" ca="1">IF(ISNUMBER(_xll.VoseSimPercentile(Pois_47,0.9)),_xll.VoseSimPercentile(Pois_47,0.9),NA())</f>
        <v>44</v>
      </c>
      <c r="F159" s="53" cm="1">
        <f t="array" aca="1" ref="F159" ca="1">IF(ISNUMBER(_xll.VoseSimMean(Pois_47)),_xll.VoseSimMean(Pois_47),NA())</f>
        <v>36.3863193159658</v>
      </c>
    </row>
    <row r="160" spans="2:6" hidden="1" outlineLevel="1" x14ac:dyDescent="0.45">
      <c r="B160" s="54" t="s">
        <v>221</v>
      </c>
      <c r="C160" s="53" cm="1">
        <f t="array" aca="1" ref="C160" ca="1">IF(ISNUMBER(_xll.VoseSimPercentile(Pois_48,0.1)),_xll.VoseSimPercentile(Pois_48,0.1),NA())</f>
        <v>29</v>
      </c>
      <c r="D160" s="53" cm="1">
        <f t="array" aca="1" ref="D160" ca="1">IF(ISNUMBER(_xll.VoseSimPercentile(Pois_48,0.5)),_xll.VoseSimPercentile(Pois_48,0.5),NA())</f>
        <v>36</v>
      </c>
      <c r="E160" s="53" cm="1">
        <f t="array" aca="1" ref="E160" ca="1">IF(ISNUMBER(_xll.VoseSimPercentile(Pois_48,0.9)),_xll.VoseSimPercentile(Pois_48,0.9),NA())</f>
        <v>44</v>
      </c>
      <c r="F160" s="53" cm="1">
        <f t="array" aca="1" ref="F160" ca="1">IF(ISNUMBER(_xll.VoseSimMean(Pois_48)),_xll.VoseSimMean(Pois_48),NA())</f>
        <v>36.50492524626231</v>
      </c>
    </row>
    <row r="161" spans="2:7" hidden="1" outlineLevel="1" x14ac:dyDescent="0.45">
      <c r="B161" s="54" t="s">
        <v>222</v>
      </c>
      <c r="C161" s="53" cm="1">
        <f t="array" aca="1" ref="C161" ca="1">IF(ISNUMBER(_xll.VoseSimPercentile(Pois_49,0.1)),_xll.VoseSimPercentile(Pois_49,0.1),NA())</f>
        <v>29</v>
      </c>
      <c r="D161" s="53" cm="1">
        <f t="array" aca="1" ref="D161" ca="1">IF(ISNUMBER(_xll.VoseSimPercentile(Pois_49,0.5)),_xll.VoseSimPercentile(Pois_49,0.5),NA())</f>
        <v>37</v>
      </c>
      <c r="E161" s="53" cm="1">
        <f t="array" aca="1" ref="E161" ca="1">IF(ISNUMBER(_xll.VoseSimPercentile(Pois_49,0.9)),_xll.VoseSimPercentile(Pois_49,0.9),NA())</f>
        <v>45</v>
      </c>
      <c r="F161" s="53" cm="1">
        <f t="array" aca="1" ref="F161" ca="1">IF(ISNUMBER(_xll.VoseSimMean(Pois_49)),_xll.VoseSimMean(Pois_49),NA())</f>
        <v>36.828291414570728</v>
      </c>
    </row>
    <row r="162" spans="2:7" hidden="1" outlineLevel="1" x14ac:dyDescent="0.45">
      <c r="B162" s="54" t="s">
        <v>223</v>
      </c>
      <c r="C162" s="53" cm="1">
        <f t="array" aca="1" ref="C162" ca="1">IF(ISNUMBER(_xll.VoseSimPercentile(Pois_50,0.1)),_xll.VoseSimPercentile(Pois_50,0.1),NA())</f>
        <v>29</v>
      </c>
      <c r="D162" s="53" cm="1">
        <f t="array" aca="1" ref="D162" ca="1">IF(ISNUMBER(_xll.VoseSimPercentile(Pois_50,0.5)),_xll.VoseSimPercentile(Pois_50,0.5),NA())</f>
        <v>37</v>
      </c>
      <c r="E162" s="53" cm="1">
        <f t="array" aca="1" ref="E162" ca="1">IF(ISNUMBER(_xll.VoseSimPercentile(Pois_50,0.9)),_xll.VoseSimPercentile(Pois_50,0.9),NA())</f>
        <v>45</v>
      </c>
      <c r="F162" s="53" cm="1">
        <f t="array" aca="1" ref="F162" ca="1">IF(ISNUMBER(_xll.VoseSimMean(Pois_50)),_xll.VoseSimMean(Pois_50),NA())</f>
        <v>36.938846942347119</v>
      </c>
    </row>
    <row r="163" spans="2:7" hidden="1" outlineLevel="1" x14ac:dyDescent="0.45"/>
    <row r="164" spans="2:7" ht="28.05" hidden="1" customHeight="1" outlineLevel="1" x14ac:dyDescent="0.45">
      <c r="B164" s="23" t="s">
        <v>170</v>
      </c>
      <c r="C164" s="24" t="s">
        <v>171</v>
      </c>
      <c r="D164" s="24" t="s">
        <v>172</v>
      </c>
      <c r="E164" s="24" t="s">
        <v>173</v>
      </c>
      <c r="F164" s="24" t="s">
        <v>147</v>
      </c>
      <c r="G164" s="5"/>
    </row>
    <row r="165" spans="2:7" hidden="1" outlineLevel="1" x14ac:dyDescent="0.45">
      <c r="B165" s="54" t="s">
        <v>174</v>
      </c>
      <c r="C165" s="53" cm="1">
        <f t="array" aca="1" ref="C165" ca="1">IF(ISNUMBER(_xll.VoseSimPercentile(PolS_1,0.1)),_xll.VoseSimPercentile(PolS_1,0.1),NA())</f>
        <v>9</v>
      </c>
      <c r="D165" s="53" cm="1">
        <f t="array" aca="1" ref="D165" ca="1">IF(ISNUMBER(_xll.VoseSimPercentile(PolS_1,0.5)),_xll.VoseSimPercentile(PolS_1,0.5),NA())</f>
        <v>24</v>
      </c>
      <c r="E165" s="53" cm="1">
        <f t="array" aca="1" ref="E165" ca="1">IF(ISNUMBER(_xll.VoseSimPercentile(PolS_1,0.9)),_xll.VoseSimPercentile(PolS_1,0.9),NA())</f>
        <v>48</v>
      </c>
      <c r="F165" s="53" cm="1">
        <f t="array" aca="1" ref="F165" ca="1">IF(ISNUMBER(_xll.VoseSimMean(PolS_1)),_xll.VoseSimMean(PolS_1),NA())</f>
        <v>27.008250412520628</v>
      </c>
    </row>
    <row r="166" spans="2:7" hidden="1" outlineLevel="1" x14ac:dyDescent="0.45">
      <c r="B166" s="54" t="s">
        <v>175</v>
      </c>
      <c r="C166" s="53" cm="1">
        <f t="array" aca="1" ref="C166" ca="1">IF(ISNUMBER(_xll.VoseSimPercentile(PolS_2,0.1)),_xll.VoseSimPercentile(PolS_2,0.1),NA())</f>
        <v>10</v>
      </c>
      <c r="D166" s="53" cm="1">
        <f t="array" aca="1" ref="D166" ca="1">IF(ISNUMBER(_xll.VoseSimPercentile(PolS_2,0.5)),_xll.VoseSimPercentile(PolS_2,0.5),NA())</f>
        <v>24</v>
      </c>
      <c r="E166" s="53" cm="1">
        <f t="array" aca="1" ref="E166" ca="1">IF(ISNUMBER(_xll.VoseSimPercentile(PolS_2,0.9)),_xll.VoseSimPercentile(PolS_2,0.9),NA())</f>
        <v>48</v>
      </c>
      <c r="F166" s="53" cm="1">
        <f t="array" aca="1" ref="F166" ca="1">IF(ISNUMBER(_xll.VoseSimMean(PolS_2)),_xll.VoseSimMean(PolS_2),NA())</f>
        <v>27.221311065553277</v>
      </c>
    </row>
    <row r="167" spans="2:7" hidden="1" outlineLevel="1" x14ac:dyDescent="0.45">
      <c r="B167" s="54" t="s">
        <v>176</v>
      </c>
      <c r="C167" s="53" cm="1">
        <f t="array" aca="1" ref="C167" ca="1">IF(ISNUMBER(_xll.VoseSimPercentile(PolS_3,0.1)),_xll.VoseSimPercentile(PolS_3,0.1),NA())</f>
        <v>10</v>
      </c>
      <c r="D167" s="53" cm="1">
        <f t="array" aca="1" ref="D167" ca="1">IF(ISNUMBER(_xll.VoseSimPercentile(PolS_3,0.5)),_xll.VoseSimPercentile(PolS_3,0.5),NA())</f>
        <v>25</v>
      </c>
      <c r="E167" s="53" cm="1">
        <f t="array" aca="1" ref="E167" ca="1">IF(ISNUMBER(_xll.VoseSimPercentile(PolS_3,0.9)),_xll.VoseSimPercentile(PolS_3,0.9),NA())</f>
        <v>48</v>
      </c>
      <c r="F167" s="53" cm="1">
        <f t="array" aca="1" ref="F167" ca="1">IF(ISNUMBER(_xll.VoseSimMean(PolS_3)),_xll.VoseSimMean(PolS_3),NA())</f>
        <v>27.387369368468423</v>
      </c>
    </row>
    <row r="168" spans="2:7" hidden="1" outlineLevel="1" x14ac:dyDescent="0.45">
      <c r="B168" s="54" t="s">
        <v>177</v>
      </c>
      <c r="C168" s="53" cm="1">
        <f t="array" aca="1" ref="C168" ca="1">IF(ISNUMBER(_xll.VoseSimPercentile(PolS_4,0.1)),_xll.VoseSimPercentile(PolS_4,0.1),NA())</f>
        <v>10</v>
      </c>
      <c r="D168" s="53" cm="1">
        <f t="array" aca="1" ref="D168" ca="1">IF(ISNUMBER(_xll.VoseSimPercentile(PolS_4,0.5)),_xll.VoseSimPercentile(PolS_4,0.5),NA())</f>
        <v>25</v>
      </c>
      <c r="E168" s="53" cm="1">
        <f t="array" aca="1" ref="E168" ca="1">IF(ISNUMBER(_xll.VoseSimPercentile(PolS_4,0.9)),_xll.VoseSimPercentile(PolS_4,0.9),NA())</f>
        <v>49</v>
      </c>
      <c r="F168" s="53" cm="1">
        <f t="array" aca="1" ref="F168" ca="1">IF(ISNUMBER(_xll.VoseSimMean(PolS_4)),_xll.VoseSimMean(PolS_4),NA())</f>
        <v>27.650382519125955</v>
      </c>
    </row>
    <row r="169" spans="2:7" hidden="1" outlineLevel="1" x14ac:dyDescent="0.45">
      <c r="B169" s="54" t="s">
        <v>178</v>
      </c>
      <c r="C169" s="53" cm="1">
        <f t="array" aca="1" ref="C169" ca="1">IF(ISNUMBER(_xll.VoseSimPercentile(PolS_5,0.1)),_xll.VoseSimPercentile(PolS_5,0.1),NA())</f>
        <v>10</v>
      </c>
      <c r="D169" s="53" cm="1">
        <f t="array" aca="1" ref="D169" ca="1">IF(ISNUMBER(_xll.VoseSimPercentile(PolS_5,0.5)),_xll.VoseSimPercentile(PolS_5,0.5),NA())</f>
        <v>25</v>
      </c>
      <c r="E169" s="53" cm="1">
        <f t="array" aca="1" ref="E169" ca="1">IF(ISNUMBER(_xll.VoseSimPercentile(PolS_5,0.9)),_xll.VoseSimPercentile(PolS_5,0.9),NA())</f>
        <v>49</v>
      </c>
      <c r="F169" s="53" cm="1">
        <f t="array" aca="1" ref="F169" ca="1">IF(ISNUMBER(_xll.VoseSimMean(PolS_5)),_xll.VoseSimMean(PolS_5),NA())</f>
        <v>27.827441372068602</v>
      </c>
    </row>
    <row r="170" spans="2:7" hidden="1" outlineLevel="1" x14ac:dyDescent="0.45">
      <c r="B170" s="54" t="s">
        <v>179</v>
      </c>
      <c r="C170" s="53" cm="1">
        <f t="array" aca="1" ref="C170" ca="1">IF(ISNUMBER(_xll.VoseSimPercentile(PolS_6,0.1)),_xll.VoseSimPercentile(PolS_6,0.1),NA())</f>
        <v>10</v>
      </c>
      <c r="D170" s="53" cm="1">
        <f t="array" aca="1" ref="D170" ca="1">IF(ISNUMBER(_xll.VoseSimPercentile(PolS_6,0.5)),_xll.VoseSimPercentile(PolS_6,0.5),NA())</f>
        <v>25</v>
      </c>
      <c r="E170" s="53" cm="1">
        <f t="array" aca="1" ref="E170" ca="1">IF(ISNUMBER(_xll.VoseSimPercentile(PolS_6,0.9)),_xll.VoseSimPercentile(PolS_6,0.9),NA())</f>
        <v>49</v>
      </c>
      <c r="F170" s="53" cm="1">
        <f t="array" aca="1" ref="F170" ca="1">IF(ISNUMBER(_xll.VoseSimMean(PolS_6)),_xll.VoseSimMean(PolS_6),NA())</f>
        <v>27.995349767488374</v>
      </c>
    </row>
    <row r="171" spans="2:7" hidden="1" outlineLevel="1" x14ac:dyDescent="0.45">
      <c r="B171" s="54" t="s">
        <v>180</v>
      </c>
      <c r="C171" s="53" cm="1">
        <f t="array" aca="1" ref="C171" ca="1">IF(ISNUMBER(_xll.VoseSimPercentile(PolS_7,0.1)),_xll.VoseSimPercentile(PolS_7,0.1),NA())</f>
        <v>10</v>
      </c>
      <c r="D171" s="53" cm="1">
        <f t="array" aca="1" ref="D171" ca="1">IF(ISNUMBER(_xll.VoseSimPercentile(PolS_7,0.5)),_xll.VoseSimPercentile(PolS_7,0.5),NA())</f>
        <v>25</v>
      </c>
      <c r="E171" s="53" cm="1">
        <f t="array" aca="1" ref="E171" ca="1">IF(ISNUMBER(_xll.VoseSimPercentile(PolS_7,0.9)),_xll.VoseSimPercentile(PolS_7,0.9),NA())</f>
        <v>50</v>
      </c>
      <c r="F171" s="53" cm="1">
        <f t="array" aca="1" ref="F171" ca="1">IF(ISNUMBER(_xll.VoseSimMean(PolS_7)),_xll.VoseSimMean(PolS_7),NA())</f>
        <v>28.248512425621282</v>
      </c>
    </row>
    <row r="172" spans="2:7" hidden="1" outlineLevel="1" x14ac:dyDescent="0.45">
      <c r="B172" s="54" t="s">
        <v>181</v>
      </c>
      <c r="C172" s="53" cm="1">
        <f t="array" aca="1" ref="C172" ca="1">IF(ISNUMBER(_xll.VoseSimPercentile(PolS_8,0.1)),_xll.VoseSimPercentile(PolS_8,0.1),NA())</f>
        <v>10</v>
      </c>
      <c r="D172" s="53" cm="1">
        <f t="array" aca="1" ref="D172" ca="1">IF(ISNUMBER(_xll.VoseSimPercentile(PolS_8,0.5)),_xll.VoseSimPercentile(PolS_8,0.5),NA())</f>
        <v>26</v>
      </c>
      <c r="E172" s="53" cm="1">
        <f t="array" aca="1" ref="E172" ca="1">IF(ISNUMBER(_xll.VoseSimPercentile(PolS_8,0.9)),_xll.VoseSimPercentile(PolS_8,0.9),NA())</f>
        <v>50</v>
      </c>
      <c r="F172" s="53" cm="1">
        <f t="array" aca="1" ref="F172" ca="1">IF(ISNUMBER(_xll.VoseSimMean(PolS_8)),_xll.VoseSimMean(PolS_8),NA())</f>
        <v>28.31831591579579</v>
      </c>
    </row>
    <row r="173" spans="2:7" hidden="1" outlineLevel="1" x14ac:dyDescent="0.45">
      <c r="B173" s="54" t="s">
        <v>182</v>
      </c>
      <c r="C173" s="53" cm="1">
        <f t="array" aca="1" ref="C173" ca="1">IF(ISNUMBER(_xll.VoseSimPercentile(PolS_9,0.1)),_xll.VoseSimPercentile(PolS_9,0.1),NA())</f>
        <v>10</v>
      </c>
      <c r="D173" s="53" cm="1">
        <f t="array" aca="1" ref="D173" ca="1">IF(ISNUMBER(_xll.VoseSimPercentile(PolS_9,0.5)),_xll.VoseSimPercentile(PolS_9,0.5),NA())</f>
        <v>26</v>
      </c>
      <c r="E173" s="53" cm="1">
        <f t="array" aca="1" ref="E173" ca="1">IF(ISNUMBER(_xll.VoseSimPercentile(PolS_9,0.9)),_xll.VoseSimPercentile(PolS_9,0.9),NA())</f>
        <v>51</v>
      </c>
      <c r="F173" s="53" cm="1">
        <f t="array" aca="1" ref="F173" ca="1">IF(ISNUMBER(_xll.VoseSimMean(PolS_9)),_xll.VoseSimMean(PolS_9),NA())</f>
        <v>28.696234811740588</v>
      </c>
    </row>
    <row r="174" spans="2:7" hidden="1" outlineLevel="1" x14ac:dyDescent="0.45">
      <c r="B174" s="54" t="s">
        <v>183</v>
      </c>
      <c r="C174" s="53" cm="1">
        <f t="array" aca="1" ref="C174" ca="1">IF(ISNUMBER(_xll.VoseSimPercentile(PolS_10,0.1)),_xll.VoseSimPercentile(PolS_10,0.1),NA())</f>
        <v>10</v>
      </c>
      <c r="D174" s="53" cm="1">
        <f t="array" aca="1" ref="D174" ca="1">IF(ISNUMBER(_xll.VoseSimPercentile(PolS_10,0.5)),_xll.VoseSimPercentile(PolS_10,0.5),NA())</f>
        <v>26</v>
      </c>
      <c r="E174" s="53" cm="1">
        <f t="array" aca="1" ref="E174" ca="1">IF(ISNUMBER(_xll.VoseSimPercentile(PolS_10,0.9)),_xll.VoseSimPercentile(PolS_10,0.9),NA())</f>
        <v>51</v>
      </c>
      <c r="F174" s="53" cm="1">
        <f t="array" aca="1" ref="F174" ca="1">IF(ISNUMBER(_xll.VoseSimMean(PolS_10)),_xll.VoseSimMean(PolS_10),NA())</f>
        <v>28.789139456972848</v>
      </c>
    </row>
    <row r="175" spans="2:7" hidden="1" outlineLevel="1" x14ac:dyDescent="0.45">
      <c r="B175" s="54" t="s">
        <v>184</v>
      </c>
      <c r="C175" s="53" cm="1">
        <f t="array" aca="1" ref="C175" ca="1">IF(ISNUMBER(_xll.VoseSimPercentile(PolS_11,0.1)),_xll.VoseSimPercentile(PolS_11,0.1),NA())</f>
        <v>10</v>
      </c>
      <c r="D175" s="53" cm="1">
        <f t="array" aca="1" ref="D175" ca="1">IF(ISNUMBER(_xll.VoseSimPercentile(PolS_11,0.5)),_xll.VoseSimPercentile(PolS_11,0.5),NA())</f>
        <v>26</v>
      </c>
      <c r="E175" s="53" cm="1">
        <f t="array" aca="1" ref="E175" ca="1">IF(ISNUMBER(_xll.VoseSimPercentile(PolS_11,0.9)),_xll.VoseSimPercentile(PolS_11,0.9),NA())</f>
        <v>51</v>
      </c>
      <c r="F175" s="53" cm="1">
        <f t="array" aca="1" ref="F175" ca="1">IF(ISNUMBER(_xll.VoseSimMean(PolS_11)),_xll.VoseSimMean(PolS_11),NA())</f>
        <v>29.002650132506627</v>
      </c>
    </row>
    <row r="176" spans="2:7" hidden="1" outlineLevel="1" x14ac:dyDescent="0.45">
      <c r="B176" s="54" t="s">
        <v>185</v>
      </c>
      <c r="C176" s="53" cm="1">
        <f t="array" aca="1" ref="C176" ca="1">IF(ISNUMBER(_xll.VoseSimPercentile(PolS_12,0.1)),_xll.VoseSimPercentile(PolS_12,0.1),NA())</f>
        <v>10</v>
      </c>
      <c r="D176" s="53" cm="1">
        <f t="array" aca="1" ref="D176" ca="1">IF(ISNUMBER(_xll.VoseSimPercentile(PolS_12,0.5)),_xll.VoseSimPercentile(PolS_12,0.5),NA())</f>
        <v>26</v>
      </c>
      <c r="E176" s="53" cm="1">
        <f t="array" aca="1" ref="E176" ca="1">IF(ISNUMBER(_xll.VoseSimPercentile(PolS_12,0.9)),_xll.VoseSimPercentile(PolS_12,0.9),NA())</f>
        <v>52</v>
      </c>
      <c r="F176" s="53" cm="1">
        <f t="array" aca="1" ref="F176" ca="1">IF(ISNUMBER(_xll.VoseSimMean(PolS_12)),_xll.VoseSimMean(PolS_12),NA())</f>
        <v>29.113855692784639</v>
      </c>
    </row>
    <row r="177" spans="2:6" hidden="1" outlineLevel="1" x14ac:dyDescent="0.45">
      <c r="B177" s="54" t="s">
        <v>186</v>
      </c>
      <c r="C177" s="53" cm="1">
        <f t="array" aca="1" ref="C177" ca="1">IF(ISNUMBER(_xll.VoseSimPercentile(PolS_13,0.1)),_xll.VoseSimPercentile(PolS_13,0.1),NA())</f>
        <v>10</v>
      </c>
      <c r="D177" s="53" cm="1">
        <f t="array" aca="1" ref="D177" ca="1">IF(ISNUMBER(_xll.VoseSimPercentile(PolS_13,0.5)),_xll.VoseSimPercentile(PolS_13,0.5),NA())</f>
        <v>26</v>
      </c>
      <c r="E177" s="53" cm="1">
        <f t="array" aca="1" ref="E177" ca="1">IF(ISNUMBER(_xll.VoseSimPercentile(PolS_13,0.9)),_xll.VoseSimPercentile(PolS_13,0.9),NA())</f>
        <v>52</v>
      </c>
      <c r="F177" s="53" cm="1">
        <f t="array" aca="1" ref="F177" ca="1">IF(ISNUMBER(_xll.VoseSimMean(PolS_13)),_xll.VoseSimMean(PolS_13),NA())</f>
        <v>29.416820841042053</v>
      </c>
    </row>
    <row r="178" spans="2:6" hidden="1" outlineLevel="1" x14ac:dyDescent="0.45">
      <c r="B178" s="54" t="s">
        <v>187</v>
      </c>
      <c r="C178" s="53" cm="1">
        <f t="array" aca="1" ref="C178" ca="1">IF(ISNUMBER(_xll.VoseSimPercentile(PolS_14,0.1)),_xll.VoseSimPercentile(PolS_14,0.1),NA())</f>
        <v>10</v>
      </c>
      <c r="D178" s="53" cm="1">
        <f t="array" aca="1" ref="D178" ca="1">IF(ISNUMBER(_xll.VoseSimPercentile(PolS_14,0.5)),_xll.VoseSimPercentile(PolS_14,0.5),NA())</f>
        <v>27</v>
      </c>
      <c r="E178" s="53" cm="1">
        <f t="array" aca="1" ref="E178" ca="1">IF(ISNUMBER(_xll.VoseSimPercentile(PolS_14,0.9)),_xll.VoseSimPercentile(PolS_14,0.9),NA())</f>
        <v>52</v>
      </c>
      <c r="F178" s="53" cm="1">
        <f t="array" aca="1" ref="F178" ca="1">IF(ISNUMBER(_xll.VoseSimMean(PolS_14)),_xll.VoseSimMean(PolS_14),NA())</f>
        <v>29.549077453872695</v>
      </c>
    </row>
    <row r="179" spans="2:6" hidden="1" outlineLevel="1" x14ac:dyDescent="0.45">
      <c r="B179" s="54" t="s">
        <v>188</v>
      </c>
      <c r="C179" s="53" cm="1">
        <f t="array" aca="1" ref="C179" ca="1">IF(ISNUMBER(_xll.VoseSimPercentile(PolS_15,0.1)),_xll.VoseSimPercentile(PolS_15,0.1),NA())</f>
        <v>11</v>
      </c>
      <c r="D179" s="53" cm="1">
        <f t="array" aca="1" ref="D179" ca="1">IF(ISNUMBER(_xll.VoseSimPercentile(PolS_15,0.5)),_xll.VoseSimPercentile(PolS_15,0.5),NA())</f>
        <v>27</v>
      </c>
      <c r="E179" s="53" cm="1">
        <f t="array" aca="1" ref="E179" ca="1">IF(ISNUMBER(_xll.VoseSimPercentile(PolS_15,0.9)),_xll.VoseSimPercentile(PolS_15,0.9),NA())</f>
        <v>53</v>
      </c>
      <c r="F179" s="53" cm="1">
        <f t="array" aca="1" ref="F179" ca="1">IF(ISNUMBER(_xll.VoseSimMean(PolS_15)),_xll.VoseSimMean(PolS_15),NA())</f>
        <v>29.703435171758588</v>
      </c>
    </row>
    <row r="180" spans="2:6" hidden="1" outlineLevel="1" x14ac:dyDescent="0.45">
      <c r="B180" s="54" t="s">
        <v>189</v>
      </c>
      <c r="C180" s="53" cm="1">
        <f t="array" aca="1" ref="C180" ca="1">IF(ISNUMBER(_xll.VoseSimPercentile(PolS_16,0.1)),_xll.VoseSimPercentile(PolS_16,0.1),NA())</f>
        <v>11</v>
      </c>
      <c r="D180" s="53" cm="1">
        <f t="array" aca="1" ref="D180" ca="1">IF(ISNUMBER(_xll.VoseSimPercentile(PolS_16,0.5)),_xll.VoseSimPercentile(PolS_16,0.5),NA())</f>
        <v>27</v>
      </c>
      <c r="E180" s="53" cm="1">
        <f t="array" aca="1" ref="E180" ca="1">IF(ISNUMBER(_xll.VoseSimPercentile(PolS_16,0.9)),_xll.VoseSimPercentile(PolS_16,0.9),NA())</f>
        <v>53</v>
      </c>
      <c r="F180" s="53" cm="1">
        <f t="array" aca="1" ref="F180" ca="1">IF(ISNUMBER(_xll.VoseSimMean(PolS_16)),_xll.VoseSimMean(PolS_16),NA())</f>
        <v>29.971848592429623</v>
      </c>
    </row>
    <row r="181" spans="2:6" hidden="1" outlineLevel="1" x14ac:dyDescent="0.45">
      <c r="B181" s="54" t="s">
        <v>190</v>
      </c>
      <c r="C181" s="53" cm="1">
        <f t="array" aca="1" ref="C181" ca="1">IF(ISNUMBER(_xll.VoseSimPercentile(PolS_17,0.1)),_xll.VoseSimPercentile(PolS_17,0.1),NA())</f>
        <v>11</v>
      </c>
      <c r="D181" s="53" cm="1">
        <f t="array" aca="1" ref="D181" ca="1">IF(ISNUMBER(_xll.VoseSimPercentile(PolS_17,0.5)),_xll.VoseSimPercentile(PolS_17,0.5),NA())</f>
        <v>27</v>
      </c>
      <c r="E181" s="53" cm="1">
        <f t="array" aca="1" ref="E181" ca="1">IF(ISNUMBER(_xll.VoseSimPercentile(PolS_17,0.9)),_xll.VoseSimPercentile(PolS_17,0.9),NA())</f>
        <v>53</v>
      </c>
      <c r="F181" s="53" cm="1">
        <f t="array" aca="1" ref="F181" ca="1">IF(ISNUMBER(_xll.VoseSimMean(PolS_17)),_xll.VoseSimMean(PolS_17),NA())</f>
        <v>30.158807940397018</v>
      </c>
    </row>
    <row r="182" spans="2:6" hidden="1" outlineLevel="1" x14ac:dyDescent="0.45">
      <c r="B182" s="54" t="s">
        <v>191</v>
      </c>
      <c r="C182" s="53" cm="1">
        <f t="array" aca="1" ref="C182" ca="1">IF(ISNUMBER(_xll.VoseSimPercentile(PolS_18,0.1)),_xll.VoseSimPercentile(PolS_18,0.1),NA())</f>
        <v>11</v>
      </c>
      <c r="D182" s="53" cm="1">
        <f t="array" aca="1" ref="D182" ca="1">IF(ISNUMBER(_xll.VoseSimPercentile(PolS_18,0.5)),_xll.VoseSimPercentile(PolS_18,0.5),NA())</f>
        <v>27</v>
      </c>
      <c r="E182" s="53" cm="1">
        <f t="array" aca="1" ref="E182" ca="1">IF(ISNUMBER(_xll.VoseSimPercentile(PolS_18,0.9)),_xll.VoseSimPercentile(PolS_18,0.9),NA())</f>
        <v>53</v>
      </c>
      <c r="F182" s="53" cm="1">
        <f t="array" aca="1" ref="F182" ca="1">IF(ISNUMBER(_xll.VoseSimMean(PolS_18)),_xll.VoseSimMean(PolS_18),NA())</f>
        <v>30.310665533276662</v>
      </c>
    </row>
    <row r="183" spans="2:6" hidden="1" outlineLevel="1" x14ac:dyDescent="0.45">
      <c r="B183" s="54" t="s">
        <v>192</v>
      </c>
      <c r="C183" s="53" cm="1">
        <f t="array" aca="1" ref="C183" ca="1">IF(ISNUMBER(_xll.VoseSimPercentile(PolS_19,0.1)),_xll.VoseSimPercentile(PolS_19,0.1),NA())</f>
        <v>11</v>
      </c>
      <c r="D183" s="53" cm="1">
        <f t="array" aca="1" ref="D183" ca="1">IF(ISNUMBER(_xll.VoseSimPercentile(PolS_19,0.5)),_xll.VoseSimPercentile(PolS_19,0.5),NA())</f>
        <v>28</v>
      </c>
      <c r="E183" s="53" cm="1">
        <f t="array" aca="1" ref="E183" ca="1">IF(ISNUMBER(_xll.VoseSimPercentile(PolS_19,0.9)),_xll.VoseSimPercentile(PolS_19,0.9),NA())</f>
        <v>54</v>
      </c>
      <c r="F183" s="53" cm="1">
        <f t="array" aca="1" ref="F183" ca="1">IF(ISNUMBER(_xll.VoseSimMean(PolS_19)),_xll.VoseSimMean(PolS_19),NA())</f>
        <v>30.583129156457822</v>
      </c>
    </row>
    <row r="184" spans="2:6" hidden="1" outlineLevel="1" x14ac:dyDescent="0.45">
      <c r="B184" s="54" t="s">
        <v>193</v>
      </c>
      <c r="C184" s="53" cm="1">
        <f t="array" aca="1" ref="C184" ca="1">IF(ISNUMBER(_xll.VoseSimPercentile(PolS_20,0.1)),_xll.VoseSimPercentile(PolS_20,0.1),NA())</f>
        <v>11</v>
      </c>
      <c r="D184" s="53" cm="1">
        <f t="array" aca="1" ref="D184" ca="1">IF(ISNUMBER(_xll.VoseSimPercentile(PolS_20,0.5)),_xll.VoseSimPercentile(PolS_20,0.5),NA())</f>
        <v>28</v>
      </c>
      <c r="E184" s="53" cm="1">
        <f t="array" aca="1" ref="E184" ca="1">IF(ISNUMBER(_xll.VoseSimPercentile(PolS_20,0.9)),_xll.VoseSimPercentile(PolS_20,0.9),NA())</f>
        <v>54</v>
      </c>
      <c r="F184" s="53" cm="1">
        <f t="array" aca="1" ref="F184" ca="1">IF(ISNUMBER(_xll.VoseSimMean(PolS_20)),_xll.VoseSimMean(PolS_20),NA())</f>
        <v>30.788689434471724</v>
      </c>
    </row>
    <row r="185" spans="2:6" hidden="1" outlineLevel="1" x14ac:dyDescent="0.45">
      <c r="B185" s="54" t="s">
        <v>194</v>
      </c>
      <c r="C185" s="53" cm="1">
        <f t="array" aca="1" ref="C185" ca="1">IF(ISNUMBER(_xll.VoseSimPercentile(PolS_21,0.1)),_xll.VoseSimPercentile(PolS_21,0.1),NA())</f>
        <v>11</v>
      </c>
      <c r="D185" s="53" cm="1">
        <f t="array" aca="1" ref="D185" ca="1">IF(ISNUMBER(_xll.VoseSimPercentile(PolS_21,0.5)),_xll.VoseSimPercentile(PolS_21,0.5),NA())</f>
        <v>28</v>
      </c>
      <c r="E185" s="53" cm="1">
        <f t="array" aca="1" ref="E185" ca="1">IF(ISNUMBER(_xll.VoseSimPercentile(PolS_21,0.9)),_xll.VoseSimPercentile(PolS_21,0.9),NA())</f>
        <v>54</v>
      </c>
      <c r="F185" s="53" cm="1">
        <f t="array" aca="1" ref="F185" ca="1">IF(ISNUMBER(_xll.VoseSimMean(PolS_21)),_xll.VoseSimMean(PolS_21),NA())</f>
        <v>30.92819640982049</v>
      </c>
    </row>
    <row r="186" spans="2:6" hidden="1" outlineLevel="1" x14ac:dyDescent="0.45">
      <c r="B186" s="54" t="s">
        <v>195</v>
      </c>
      <c r="C186" s="53" cm="1">
        <f t="array" aca="1" ref="C186" ca="1">IF(ISNUMBER(_xll.VoseSimPercentile(PolS_22,0.1)),_xll.VoseSimPercentile(PolS_22,0.1),NA())</f>
        <v>11</v>
      </c>
      <c r="D186" s="53" cm="1">
        <f t="array" aca="1" ref="D186" ca="1">IF(ISNUMBER(_xll.VoseSimPercentile(PolS_22,0.5)),_xll.VoseSimPercentile(PolS_22,0.5),NA())</f>
        <v>28</v>
      </c>
      <c r="E186" s="53" cm="1">
        <f t="array" aca="1" ref="E186" ca="1">IF(ISNUMBER(_xll.VoseSimPercentile(PolS_22,0.9)),_xll.VoseSimPercentile(PolS_22,0.9),NA())</f>
        <v>55</v>
      </c>
      <c r="F186" s="53" cm="1">
        <f t="array" aca="1" ref="F186" ca="1">IF(ISNUMBER(_xll.VoseSimMean(PolS_22)),_xll.VoseSimMean(PolS_22),NA())</f>
        <v>31.161758087904396</v>
      </c>
    </row>
    <row r="187" spans="2:6" hidden="1" outlineLevel="1" x14ac:dyDescent="0.45">
      <c r="B187" s="54" t="s">
        <v>196</v>
      </c>
      <c r="C187" s="53" cm="1">
        <f t="array" aca="1" ref="C187" ca="1">IF(ISNUMBER(_xll.VoseSimPercentile(PolS_23,0.1)),_xll.VoseSimPercentile(PolS_23,0.1),NA())</f>
        <v>11</v>
      </c>
      <c r="D187" s="53" cm="1">
        <f t="array" aca="1" ref="D187" ca="1">IF(ISNUMBER(_xll.VoseSimPercentile(PolS_23,0.5)),_xll.VoseSimPercentile(PolS_23,0.5),NA())</f>
        <v>28</v>
      </c>
      <c r="E187" s="53" cm="1">
        <f t="array" aca="1" ref="E187" ca="1">IF(ISNUMBER(_xll.VoseSimPercentile(PolS_23,0.9)),_xll.VoseSimPercentile(PolS_23,0.9),NA())</f>
        <v>55</v>
      </c>
      <c r="F187" s="53" cm="1">
        <f t="array" aca="1" ref="F187" ca="1">IF(ISNUMBER(_xll.VoseSimMean(PolS_23)),_xll.VoseSimMean(PolS_23),NA())</f>
        <v>31.405420271013551</v>
      </c>
    </row>
    <row r="188" spans="2:6" hidden="1" outlineLevel="1" x14ac:dyDescent="0.45">
      <c r="B188" s="54" t="s">
        <v>197</v>
      </c>
      <c r="C188" s="53" cm="1">
        <f t="array" aca="1" ref="C188" ca="1">IF(ISNUMBER(_xll.VoseSimPercentile(PolS_24,0.1)),_xll.VoseSimPercentile(PolS_24,0.1),NA())</f>
        <v>11</v>
      </c>
      <c r="D188" s="53" cm="1">
        <f t="array" aca="1" ref="D188" ca="1">IF(ISNUMBER(_xll.VoseSimPercentile(PolS_24,0.5)),_xll.VoseSimPercentile(PolS_24,0.5),NA())</f>
        <v>28</v>
      </c>
      <c r="E188" s="53" cm="1">
        <f t="array" aca="1" ref="E188" ca="1">IF(ISNUMBER(_xll.VoseSimPercentile(PolS_24,0.9)),_xll.VoseSimPercentile(PolS_24,0.9),NA())</f>
        <v>56</v>
      </c>
      <c r="F188" s="53" cm="1">
        <f t="array" aca="1" ref="F188" ca="1">IF(ISNUMBER(_xll.VoseSimMean(PolS_24)),_xll.VoseSimMean(PolS_24),NA())</f>
        <v>31.543177158857944</v>
      </c>
    </row>
    <row r="189" spans="2:6" hidden="1" outlineLevel="1" x14ac:dyDescent="0.45">
      <c r="B189" s="54" t="s">
        <v>198</v>
      </c>
      <c r="C189" s="53" cm="1">
        <f t="array" aca="1" ref="C189" ca="1">IF(ISNUMBER(_xll.VoseSimPercentile(PolS_25,0.1)),_xll.VoseSimPercentile(PolS_25,0.1),NA())</f>
        <v>11</v>
      </c>
      <c r="D189" s="53" cm="1">
        <f t="array" aca="1" ref="D189" ca="1">IF(ISNUMBER(_xll.VoseSimPercentile(PolS_25,0.5)),_xll.VoseSimPercentile(PolS_25,0.5),NA())</f>
        <v>29</v>
      </c>
      <c r="E189" s="53" cm="1">
        <f t="array" aca="1" ref="E189" ca="1">IF(ISNUMBER(_xll.VoseSimPercentile(PolS_25,0.9)),_xll.VoseSimPercentile(PolS_25,0.9),NA())</f>
        <v>56</v>
      </c>
      <c r="F189" s="53" cm="1">
        <f t="array" aca="1" ref="F189" ca="1">IF(ISNUMBER(_xll.VoseSimMean(PolS_25)),_xll.VoseSimMean(PolS_25),NA())</f>
        <v>31.742487124356217</v>
      </c>
    </row>
    <row r="190" spans="2:6" hidden="1" outlineLevel="1" x14ac:dyDescent="0.45">
      <c r="B190" s="54" t="s">
        <v>199</v>
      </c>
      <c r="C190" s="53" cm="1">
        <f t="array" aca="1" ref="C190" ca="1">IF(ISNUMBER(_xll.VoseSimPercentile(PolS_26,0.1)),_xll.VoseSimPercentile(PolS_26,0.1),NA())</f>
        <v>11</v>
      </c>
      <c r="D190" s="53" cm="1">
        <f t="array" aca="1" ref="D190" ca="1">IF(ISNUMBER(_xll.VoseSimPercentile(PolS_26,0.5)),_xll.VoseSimPercentile(PolS_26,0.5),NA())</f>
        <v>29</v>
      </c>
      <c r="E190" s="53" cm="1">
        <f t="array" aca="1" ref="E190" ca="1">IF(ISNUMBER(_xll.VoseSimPercentile(PolS_26,0.9)),_xll.VoseSimPercentile(PolS_26,0.9),NA())</f>
        <v>56</v>
      </c>
      <c r="F190" s="53" cm="1">
        <f t="array" aca="1" ref="F190" ca="1">IF(ISNUMBER(_xll.VoseSimMean(PolS_26)),_xll.VoseSimMean(PolS_26),NA())</f>
        <v>32.022701135056749</v>
      </c>
    </row>
    <row r="191" spans="2:6" hidden="1" outlineLevel="1" x14ac:dyDescent="0.45">
      <c r="B191" s="54" t="s">
        <v>200</v>
      </c>
      <c r="C191" s="53" cm="1">
        <f t="array" aca="1" ref="C191" ca="1">IF(ISNUMBER(_xll.VoseSimPercentile(PolS_27,0.1)),_xll.VoseSimPercentile(PolS_27,0.1),NA())</f>
        <v>11</v>
      </c>
      <c r="D191" s="53" cm="1">
        <f t="array" aca="1" ref="D191" ca="1">IF(ISNUMBER(_xll.VoseSimPercentile(PolS_27,0.5)),_xll.VoseSimPercentile(PolS_27,0.5),NA())</f>
        <v>29</v>
      </c>
      <c r="E191" s="53" cm="1">
        <f t="array" aca="1" ref="E191" ca="1">IF(ISNUMBER(_xll.VoseSimPercentile(PolS_27,0.9)),_xll.VoseSimPercentile(PolS_27,0.9),NA())</f>
        <v>57</v>
      </c>
      <c r="F191" s="53" cm="1">
        <f t="array" aca="1" ref="F191" ca="1">IF(ISNUMBER(_xll.VoseSimMean(PolS_27)),_xll.VoseSimMean(PolS_27),NA())</f>
        <v>32.109855492774642</v>
      </c>
    </row>
    <row r="192" spans="2:6" hidden="1" outlineLevel="1" x14ac:dyDescent="0.45">
      <c r="B192" s="54" t="s">
        <v>201</v>
      </c>
      <c r="C192" s="53" cm="1">
        <f t="array" aca="1" ref="C192" ca="1">IF(ISNUMBER(_xll.VoseSimPercentile(PolS_28,0.1)),_xll.VoseSimPercentile(PolS_28,0.1),NA())</f>
        <v>12</v>
      </c>
      <c r="D192" s="53" cm="1">
        <f t="array" aca="1" ref="D192" ca="1">IF(ISNUMBER(_xll.VoseSimPercentile(PolS_28,0.5)),_xll.VoseSimPercentile(PolS_28,0.5),NA())</f>
        <v>29</v>
      </c>
      <c r="E192" s="53" cm="1">
        <f t="array" aca="1" ref="E192" ca="1">IF(ISNUMBER(_xll.VoseSimPercentile(PolS_28,0.9)),_xll.VoseSimPercentile(PolS_28,0.9),NA())</f>
        <v>57</v>
      </c>
      <c r="F192" s="53" cm="1">
        <f t="array" aca="1" ref="F192" ca="1">IF(ISNUMBER(_xll.VoseSimMean(PolS_28)),_xll.VoseSimMean(PolS_28),NA())</f>
        <v>32.311615580779041</v>
      </c>
    </row>
    <row r="193" spans="2:6" hidden="1" outlineLevel="1" x14ac:dyDescent="0.45">
      <c r="B193" s="54" t="s">
        <v>202</v>
      </c>
      <c r="C193" s="53" cm="1">
        <f t="array" aca="1" ref="C193" ca="1">IF(ISNUMBER(_xll.VoseSimPercentile(PolS_29,0.1)),_xll.VoseSimPercentile(PolS_29,0.1),NA())</f>
        <v>12</v>
      </c>
      <c r="D193" s="53" cm="1">
        <f t="array" aca="1" ref="D193" ca="1">IF(ISNUMBER(_xll.VoseSimPercentile(PolS_29,0.5)),_xll.VoseSimPercentile(PolS_29,0.5),NA())</f>
        <v>29</v>
      </c>
      <c r="E193" s="53" cm="1">
        <f t="array" aca="1" ref="E193" ca="1">IF(ISNUMBER(_xll.VoseSimPercentile(PolS_29,0.9)),_xll.VoseSimPercentile(PolS_29,0.9),NA())</f>
        <v>57</v>
      </c>
      <c r="F193" s="53" cm="1">
        <f t="array" aca="1" ref="F193" ca="1">IF(ISNUMBER(_xll.VoseSimMean(PolS_29)),_xll.VoseSimMean(PolS_29),NA())</f>
        <v>32.593179658982947</v>
      </c>
    </row>
    <row r="194" spans="2:6" hidden="1" outlineLevel="1" x14ac:dyDescent="0.45">
      <c r="B194" s="54" t="s">
        <v>203</v>
      </c>
      <c r="C194" s="53" cm="1">
        <f t="array" aca="1" ref="C194" ca="1">IF(ISNUMBER(_xll.VoseSimPercentile(PolS_30,0.1)),_xll.VoseSimPercentile(PolS_30,0.1),NA())</f>
        <v>12</v>
      </c>
      <c r="D194" s="53" cm="1">
        <f t="array" aca="1" ref="D194" ca="1">IF(ISNUMBER(_xll.VoseSimPercentile(PolS_30,0.5)),_xll.VoseSimPercentile(PolS_30,0.5),NA())</f>
        <v>29</v>
      </c>
      <c r="E194" s="53" cm="1">
        <f t="array" aca="1" ref="E194" ca="1">IF(ISNUMBER(_xll.VoseSimPercentile(PolS_30,0.9)),_xll.VoseSimPercentile(PolS_30,0.9),NA())</f>
        <v>58</v>
      </c>
      <c r="F194" s="53" cm="1">
        <f t="array" aca="1" ref="F194" ca="1">IF(ISNUMBER(_xll.VoseSimMean(PolS_30)),_xll.VoseSimMean(PolS_30),NA())</f>
        <v>32.701235061753088</v>
      </c>
    </row>
    <row r="195" spans="2:6" hidden="1" outlineLevel="1" x14ac:dyDescent="0.45">
      <c r="B195" s="54" t="s">
        <v>204</v>
      </c>
      <c r="C195" s="53" cm="1">
        <f t="array" aca="1" ref="C195" ca="1">IF(ISNUMBER(_xll.VoseSimPercentile(PolS_31,0.1)),_xll.VoseSimPercentile(PolS_31,0.1),NA())</f>
        <v>12</v>
      </c>
      <c r="D195" s="53" cm="1">
        <f t="array" aca="1" ref="D195" ca="1">IF(ISNUMBER(_xll.VoseSimPercentile(PolS_31,0.5)),_xll.VoseSimPercentile(PolS_31,0.5),NA())</f>
        <v>30</v>
      </c>
      <c r="E195" s="53" cm="1">
        <f t="array" aca="1" ref="E195" ca="1">IF(ISNUMBER(_xll.VoseSimPercentile(PolS_31,0.9)),_xll.VoseSimPercentile(PolS_31,0.9),NA())</f>
        <v>57</v>
      </c>
      <c r="F195" s="53" cm="1">
        <f t="array" aca="1" ref="F195" ca="1">IF(ISNUMBER(_xll.VoseSimMean(PolS_31)),_xll.VoseSimMean(PolS_31),NA())</f>
        <v>32.899344967248361</v>
      </c>
    </row>
    <row r="196" spans="2:6" hidden="1" outlineLevel="1" x14ac:dyDescent="0.45">
      <c r="B196" s="54" t="s">
        <v>205</v>
      </c>
      <c r="C196" s="53" cm="1">
        <f t="array" aca="1" ref="C196" ca="1">IF(ISNUMBER(_xll.VoseSimPercentile(PolS_32,0.1)),_xll.VoseSimPercentile(PolS_32,0.1),NA())</f>
        <v>12</v>
      </c>
      <c r="D196" s="53" cm="1">
        <f t="array" aca="1" ref="D196" ca="1">IF(ISNUMBER(_xll.VoseSimPercentile(PolS_32,0.5)),_xll.VoseSimPercentile(PolS_32,0.5),NA())</f>
        <v>30</v>
      </c>
      <c r="E196" s="53" cm="1">
        <f t="array" aca="1" ref="E196" ca="1">IF(ISNUMBER(_xll.VoseSimPercentile(PolS_32,0.9)),_xll.VoseSimPercentile(PolS_32,0.9),NA())</f>
        <v>58</v>
      </c>
      <c r="F196" s="53" cm="1">
        <f t="array" aca="1" ref="F196" ca="1">IF(ISNUMBER(_xll.VoseSimMean(PolS_32)),_xll.VoseSimMean(PolS_32),NA())</f>
        <v>33.072753637681885</v>
      </c>
    </row>
    <row r="197" spans="2:6" hidden="1" outlineLevel="1" x14ac:dyDescent="0.45">
      <c r="B197" s="54" t="s">
        <v>206</v>
      </c>
      <c r="C197" s="53" cm="1">
        <f t="array" aca="1" ref="C197" ca="1">IF(ISNUMBER(_xll.VoseSimPercentile(PolS_33,0.1)),_xll.VoseSimPercentile(PolS_33,0.1),NA())</f>
        <v>12</v>
      </c>
      <c r="D197" s="53" cm="1">
        <f t="array" aca="1" ref="D197" ca="1">IF(ISNUMBER(_xll.VoseSimPercentile(PolS_33,0.5)),_xll.VoseSimPercentile(PolS_33,0.5),NA())</f>
        <v>30</v>
      </c>
      <c r="E197" s="53" cm="1">
        <f t="array" aca="1" ref="E197" ca="1">IF(ISNUMBER(_xll.VoseSimPercentile(PolS_33,0.9)),_xll.VoseSimPercentile(PolS_33,0.9),NA())</f>
        <v>59</v>
      </c>
      <c r="F197" s="53" cm="1">
        <f t="array" aca="1" ref="F197" ca="1">IF(ISNUMBER(_xll.VoseSimMean(PolS_33)),_xll.VoseSimMean(PolS_33),NA())</f>
        <v>33.377168858442921</v>
      </c>
    </row>
    <row r="198" spans="2:6" hidden="1" outlineLevel="1" x14ac:dyDescent="0.45">
      <c r="B198" s="54" t="s">
        <v>207</v>
      </c>
      <c r="C198" s="53" cm="1">
        <f t="array" aca="1" ref="C198" ca="1">IF(ISNUMBER(_xll.VoseSimPercentile(PolS_34,0.1)),_xll.VoseSimPercentile(PolS_34,0.1),NA())</f>
        <v>12</v>
      </c>
      <c r="D198" s="53" cm="1">
        <f t="array" aca="1" ref="D198" ca="1">IF(ISNUMBER(_xll.VoseSimPercentile(PolS_34,0.5)),_xll.VoseSimPercentile(PolS_34,0.5),NA())</f>
        <v>30</v>
      </c>
      <c r="E198" s="53" cm="1">
        <f t="array" aca="1" ref="E198" ca="1">IF(ISNUMBER(_xll.VoseSimPercentile(PolS_34,0.9)),_xll.VoseSimPercentile(PolS_34,0.9),NA())</f>
        <v>59</v>
      </c>
      <c r="F198" s="53" cm="1">
        <f t="array" aca="1" ref="F198" ca="1">IF(ISNUMBER(_xll.VoseSimMean(PolS_34)),_xll.VoseSimMean(PolS_34),NA())</f>
        <v>33.518225911295566</v>
      </c>
    </row>
    <row r="199" spans="2:6" hidden="1" outlineLevel="1" x14ac:dyDescent="0.45">
      <c r="B199" s="54" t="s">
        <v>208</v>
      </c>
      <c r="C199" s="53" cm="1">
        <f t="array" aca="1" ref="C199" ca="1">IF(ISNUMBER(_xll.VoseSimPercentile(PolS_35,0.1)),_xll.VoseSimPercentile(PolS_35,0.1),NA())</f>
        <v>12</v>
      </c>
      <c r="D199" s="53" cm="1">
        <f t="array" aca="1" ref="D199" ca="1">IF(ISNUMBER(_xll.VoseSimPercentile(PolS_35,0.5)),_xll.VoseSimPercentile(PolS_35,0.5),NA())</f>
        <v>30</v>
      </c>
      <c r="E199" s="53" cm="1">
        <f t="array" aca="1" ref="E199" ca="1">IF(ISNUMBER(_xll.VoseSimPercentile(PolS_35,0.9)),_xll.VoseSimPercentile(PolS_35,0.9),NA())</f>
        <v>59</v>
      </c>
      <c r="F199" s="53" cm="1">
        <f t="array" aca="1" ref="F199" ca="1">IF(ISNUMBER(_xll.VoseSimMean(PolS_35)),_xll.VoseSimMean(PolS_35),NA())</f>
        <v>33.735136756837839</v>
      </c>
    </row>
    <row r="200" spans="2:6" hidden="1" outlineLevel="1" x14ac:dyDescent="0.45">
      <c r="B200" s="54" t="s">
        <v>209</v>
      </c>
      <c r="C200" s="53" cm="1">
        <f t="array" aca="1" ref="C200" ca="1">IF(ISNUMBER(_xll.VoseSimPercentile(PolS_36,0.1)),_xll.VoseSimPercentile(PolS_36,0.1),NA())</f>
        <v>12</v>
      </c>
      <c r="D200" s="53" cm="1">
        <f t="array" aca="1" ref="D200" ca="1">IF(ISNUMBER(_xll.VoseSimPercentile(PolS_36,0.5)),_xll.VoseSimPercentile(PolS_36,0.5),NA())</f>
        <v>31</v>
      </c>
      <c r="E200" s="53" cm="1">
        <f t="array" aca="1" ref="E200" ca="1">IF(ISNUMBER(_xll.VoseSimPercentile(PolS_36,0.9)),_xll.VoseSimPercentile(PolS_36,0.9),NA())</f>
        <v>59</v>
      </c>
      <c r="F200" s="53" cm="1">
        <f t="array" aca="1" ref="F200" ca="1">IF(ISNUMBER(_xll.VoseSimMean(PolS_36)),_xll.VoseSimMean(PolS_36),NA())</f>
        <v>33.904145207260363</v>
      </c>
    </row>
    <row r="201" spans="2:6" hidden="1" outlineLevel="1" x14ac:dyDescent="0.45">
      <c r="B201" s="54" t="s">
        <v>210</v>
      </c>
      <c r="C201" s="53" cm="1">
        <f t="array" aca="1" ref="C201" ca="1">IF(ISNUMBER(_xll.VoseSimPercentile(PolS_37,0.1)),_xll.VoseSimPercentile(PolS_37,0.1),NA())</f>
        <v>12</v>
      </c>
      <c r="D201" s="53" cm="1">
        <f t="array" aca="1" ref="D201" ca="1">IF(ISNUMBER(_xll.VoseSimPercentile(PolS_37,0.5)),_xll.VoseSimPercentile(PolS_37,0.5),NA())</f>
        <v>31</v>
      </c>
      <c r="E201" s="53" cm="1">
        <f t="array" aca="1" ref="E201" ca="1">IF(ISNUMBER(_xll.VoseSimPercentile(PolS_37,0.9)),_xll.VoseSimPercentile(PolS_37,0.9),NA())</f>
        <v>60</v>
      </c>
      <c r="F201" s="53" cm="1">
        <f t="array" aca="1" ref="F201" ca="1">IF(ISNUMBER(_xll.VoseSimMean(PolS_37)),_xll.VoseSimMean(PolS_37),NA())</f>
        <v>34.105155257762888</v>
      </c>
    </row>
    <row r="202" spans="2:6" hidden="1" outlineLevel="1" x14ac:dyDescent="0.45">
      <c r="B202" s="54" t="s">
        <v>211</v>
      </c>
      <c r="C202" s="53" cm="1">
        <f t="array" aca="1" ref="C202" ca="1">IF(ISNUMBER(_xll.VoseSimPercentile(PolS_38,0.1)),_xll.VoseSimPercentile(PolS_38,0.1),NA())</f>
        <v>12</v>
      </c>
      <c r="D202" s="53" cm="1">
        <f t="array" aca="1" ref="D202" ca="1">IF(ISNUMBER(_xll.VoseSimPercentile(PolS_38,0.5)),_xll.VoseSimPercentile(PolS_38,0.5),NA())</f>
        <v>31</v>
      </c>
      <c r="E202" s="53" cm="1">
        <f t="array" aca="1" ref="E202" ca="1">IF(ISNUMBER(_xll.VoseSimPercentile(PolS_38,0.9)),_xll.VoseSimPercentile(PolS_38,0.9),NA())</f>
        <v>60</v>
      </c>
      <c r="F202" s="53" cm="1">
        <f t="array" aca="1" ref="F202" ca="1">IF(ISNUMBER(_xll.VoseSimMean(PolS_38)),_xll.VoseSimMean(PolS_38),NA())</f>
        <v>34.283964198209908</v>
      </c>
    </row>
    <row r="203" spans="2:6" hidden="1" outlineLevel="1" x14ac:dyDescent="0.45">
      <c r="B203" s="54" t="s">
        <v>212</v>
      </c>
      <c r="C203" s="53" cm="1">
        <f t="array" aca="1" ref="C203" ca="1">IF(ISNUMBER(_xll.VoseSimPercentile(PolS_39,0.1)),_xll.VoseSimPercentile(PolS_39,0.1),NA())</f>
        <v>12</v>
      </c>
      <c r="D203" s="53" cm="1">
        <f t="array" aca="1" ref="D203" ca="1">IF(ISNUMBER(_xll.VoseSimPercentile(PolS_39,0.5)),_xll.VoseSimPercentile(PolS_39,0.5),NA())</f>
        <v>31</v>
      </c>
      <c r="E203" s="53" cm="1">
        <f t="array" aca="1" ref="E203" ca="1">IF(ISNUMBER(_xll.VoseSimPercentile(PolS_39,0.9)),_xll.VoseSimPercentile(PolS_39,0.9),NA())</f>
        <v>61</v>
      </c>
      <c r="F203" s="53" cm="1">
        <f t="array" aca="1" ref="F203" ca="1">IF(ISNUMBER(_xll.VoseSimMean(PolS_39)),_xll.VoseSimMean(PolS_39),NA())</f>
        <v>34.541327066353318</v>
      </c>
    </row>
    <row r="204" spans="2:6" hidden="1" outlineLevel="1" x14ac:dyDescent="0.45">
      <c r="B204" s="54" t="s">
        <v>213</v>
      </c>
      <c r="C204" s="53" cm="1">
        <f t="array" aca="1" ref="C204" ca="1">IF(ISNUMBER(_xll.VoseSimPercentile(PolS_40,0.1)),_xll.VoseSimPercentile(PolS_40,0.1),NA())</f>
        <v>13</v>
      </c>
      <c r="D204" s="53" cm="1">
        <f t="array" aca="1" ref="D204" ca="1">IF(ISNUMBER(_xll.VoseSimPercentile(PolS_40,0.5)),_xll.VoseSimPercentile(PolS_40,0.5),NA())</f>
        <v>31</v>
      </c>
      <c r="E204" s="53" cm="1">
        <f t="array" aca="1" ref="E204" ca="1">IF(ISNUMBER(_xll.VoseSimPercentile(PolS_40,0.9)),_xll.VoseSimPercentile(PolS_40,0.9),NA())</f>
        <v>61</v>
      </c>
      <c r="F204" s="53" cm="1">
        <f t="array" aca="1" ref="F204" ca="1">IF(ISNUMBER(_xll.VoseSimMean(PolS_40)),_xll.VoseSimMean(PolS_40),NA())</f>
        <v>34.853442672133603</v>
      </c>
    </row>
    <row r="205" spans="2:6" hidden="1" outlineLevel="1" x14ac:dyDescent="0.45">
      <c r="B205" s="54" t="s">
        <v>214</v>
      </c>
      <c r="C205" s="53" cm="1">
        <f t="array" aca="1" ref="C205" ca="1">IF(ISNUMBER(_xll.VoseSimPercentile(PolS_41,0.1)),_xll.VoseSimPercentile(PolS_41,0.1),NA())</f>
        <v>13</v>
      </c>
      <c r="D205" s="53" cm="1">
        <f t="array" aca="1" ref="D205" ca="1">IF(ISNUMBER(_xll.VoseSimPercentile(PolS_41,0.5)),_xll.VoseSimPercentile(PolS_41,0.5),NA())</f>
        <v>31</v>
      </c>
      <c r="E205" s="53" cm="1">
        <f t="array" aca="1" ref="E205" ca="1">IF(ISNUMBER(_xll.VoseSimPercentile(PolS_41,0.9)),_xll.VoseSimPercentile(PolS_41,0.9),NA())</f>
        <v>61</v>
      </c>
      <c r="F205" s="53" cm="1">
        <f t="array" aca="1" ref="F205" ca="1">IF(ISNUMBER(_xll.VoseSimMean(PolS_41)),_xll.VoseSimMean(PolS_41),NA())</f>
        <v>34.933796689834494</v>
      </c>
    </row>
    <row r="206" spans="2:6" hidden="1" outlineLevel="1" x14ac:dyDescent="0.45">
      <c r="B206" s="54" t="s">
        <v>215</v>
      </c>
      <c r="C206" s="53" cm="1">
        <f t="array" aca="1" ref="C206" ca="1">IF(ISNUMBER(_xll.VoseSimPercentile(PolS_42,0.1)),_xll.VoseSimPercentile(PolS_42,0.1),NA())</f>
        <v>13</v>
      </c>
      <c r="D206" s="53" cm="1">
        <f t="array" aca="1" ref="D206" ca="1">IF(ISNUMBER(_xll.VoseSimPercentile(PolS_42,0.5)),_xll.VoseSimPercentile(PolS_42,0.5),NA())</f>
        <v>32</v>
      </c>
      <c r="E206" s="53" cm="1">
        <f t="array" aca="1" ref="E206" ca="1">IF(ISNUMBER(_xll.VoseSimPercentile(PolS_42,0.9)),_xll.VoseSimPercentile(PolS_42,0.9),NA())</f>
        <v>62</v>
      </c>
      <c r="F206" s="53" cm="1">
        <f t="array" aca="1" ref="F206" ca="1">IF(ISNUMBER(_xll.VoseSimMean(PolS_42)),_xll.VoseSimMean(PolS_42),NA())</f>
        <v>35.131906595329767</v>
      </c>
    </row>
    <row r="207" spans="2:6" hidden="1" outlineLevel="1" x14ac:dyDescent="0.45">
      <c r="B207" s="54" t="s">
        <v>216</v>
      </c>
      <c r="C207" s="53" cm="1">
        <f t="array" aca="1" ref="C207" ca="1">IF(ISNUMBER(_xll.VoseSimPercentile(PolS_43,0.1)),_xll.VoseSimPercentile(PolS_43,0.1),NA())</f>
        <v>13</v>
      </c>
      <c r="D207" s="53" cm="1">
        <f t="array" aca="1" ref="D207" ca="1">IF(ISNUMBER(_xll.VoseSimPercentile(PolS_43,0.5)),_xll.VoseSimPercentile(PolS_43,0.5),NA())</f>
        <v>32</v>
      </c>
      <c r="E207" s="53" cm="1">
        <f t="array" aca="1" ref="E207" ca="1">IF(ISNUMBER(_xll.VoseSimPercentile(PolS_43,0.9)),_xll.VoseSimPercentile(PolS_43,0.9),NA())</f>
        <v>62</v>
      </c>
      <c r="F207" s="53" cm="1">
        <f t="array" aca="1" ref="F207" ca="1">IF(ISNUMBER(_xll.VoseSimMean(PolS_43)),_xll.VoseSimMean(PolS_43),NA())</f>
        <v>35.226811340567025</v>
      </c>
    </row>
    <row r="208" spans="2:6" hidden="1" outlineLevel="1" x14ac:dyDescent="0.45">
      <c r="B208" s="54" t="s">
        <v>217</v>
      </c>
      <c r="C208" s="53" cm="1">
        <f t="array" aca="1" ref="C208" ca="1">IF(ISNUMBER(_xll.VoseSimPercentile(PolS_44,0.1)),_xll.VoseSimPercentile(PolS_44,0.1),NA())</f>
        <v>13</v>
      </c>
      <c r="D208" s="53" cm="1">
        <f t="array" aca="1" ref="D208" ca="1">IF(ISNUMBER(_xll.VoseSimPercentile(PolS_44,0.5)),_xll.VoseSimPercentile(PolS_44,0.5),NA())</f>
        <v>32</v>
      </c>
      <c r="E208" s="53" cm="1">
        <f t="array" aca="1" ref="E208" ca="1">IF(ISNUMBER(_xll.VoseSimPercentile(PolS_44,0.9)),_xll.VoseSimPercentile(PolS_44,0.9),NA())</f>
        <v>63</v>
      </c>
      <c r="F208" s="53" cm="1">
        <f t="array" aca="1" ref="F208" ca="1">IF(ISNUMBER(_xll.VoseSimMean(PolS_44)),_xll.VoseSimMean(PolS_44),NA())</f>
        <v>35.612380619030951</v>
      </c>
    </row>
    <row r="209" spans="2:6" hidden="1" outlineLevel="1" x14ac:dyDescent="0.45">
      <c r="B209" s="54" t="s">
        <v>218</v>
      </c>
      <c r="C209" s="53" cm="1">
        <f t="array" aca="1" ref="C209" ca="1">IF(ISNUMBER(_xll.VoseSimPercentile(PolS_45,0.1)),_xll.VoseSimPercentile(PolS_45,0.1),NA())</f>
        <v>13</v>
      </c>
      <c r="D209" s="53" cm="1">
        <f t="array" aca="1" ref="D209" ca="1">IF(ISNUMBER(_xll.VoseSimPercentile(PolS_45,0.5)),_xll.VoseSimPercentile(PolS_45,0.5),NA())</f>
        <v>32</v>
      </c>
      <c r="E209" s="53" cm="1">
        <f t="array" aca="1" ref="E209" ca="1">IF(ISNUMBER(_xll.VoseSimPercentile(PolS_45,0.9)),_xll.VoseSimPercentile(PolS_45,0.9),NA())</f>
        <v>63</v>
      </c>
      <c r="F209" s="53" cm="1">
        <f t="array" aca="1" ref="F209" ca="1">IF(ISNUMBER(_xll.VoseSimMean(PolS_45)),_xll.VoseSimMean(PolS_45),NA())</f>
        <v>35.645132256612833</v>
      </c>
    </row>
    <row r="210" spans="2:6" hidden="1" outlineLevel="1" x14ac:dyDescent="0.45">
      <c r="B210" s="54" t="s">
        <v>219</v>
      </c>
      <c r="C210" s="53" cm="1">
        <f t="array" aca="1" ref="C210" ca="1">IF(ISNUMBER(_xll.VoseSimPercentile(PolS_46,0.1)),_xll.VoseSimPercentile(PolS_46,0.1),NA())</f>
        <v>13</v>
      </c>
      <c r="D210" s="53" cm="1">
        <f t="array" aca="1" ref="D210" ca="1">IF(ISNUMBER(_xll.VoseSimPercentile(PolS_46,0.5)),_xll.VoseSimPercentile(PolS_46,0.5),NA())</f>
        <v>33</v>
      </c>
      <c r="E210" s="53" cm="1">
        <f t="array" aca="1" ref="E210" ca="1">IF(ISNUMBER(_xll.VoseSimPercentile(PolS_46,0.9)),_xll.VoseSimPercentile(PolS_46,0.9),NA())</f>
        <v>63</v>
      </c>
      <c r="F210" s="53" cm="1">
        <f t="array" aca="1" ref="F210" ca="1">IF(ISNUMBER(_xll.VoseSimMean(PolS_46)),_xll.VoseSimMean(PolS_46),NA())</f>
        <v>35.921446072303617</v>
      </c>
    </row>
    <row r="211" spans="2:6" hidden="1" outlineLevel="1" x14ac:dyDescent="0.45">
      <c r="B211" s="54" t="s">
        <v>220</v>
      </c>
      <c r="C211" s="53" cm="1">
        <f t="array" aca="1" ref="C211" ca="1">IF(ISNUMBER(_xll.VoseSimPercentile(PolS_47,0.1)),_xll.VoseSimPercentile(PolS_47,0.1),NA())</f>
        <v>13</v>
      </c>
      <c r="D211" s="53" cm="1">
        <f t="array" aca="1" ref="D211" ca="1">IF(ISNUMBER(_xll.VoseSimPercentile(PolS_47,0.5)),_xll.VoseSimPercentile(PolS_47,0.5),NA())</f>
        <v>33</v>
      </c>
      <c r="E211" s="53" cm="1">
        <f t="array" aca="1" ref="E211" ca="1">IF(ISNUMBER(_xll.VoseSimPercentile(PolS_47,0.9)),_xll.VoseSimPercentile(PolS_47,0.9),NA())</f>
        <v>63</v>
      </c>
      <c r="F211" s="53" cm="1">
        <f t="array" aca="1" ref="F211" ca="1">IF(ISNUMBER(_xll.VoseSimMean(PolS_47)),_xll.VoseSimMean(PolS_47),NA())</f>
        <v>36.229861493074651</v>
      </c>
    </row>
    <row r="212" spans="2:6" hidden="1" outlineLevel="1" x14ac:dyDescent="0.45">
      <c r="B212" s="54" t="s">
        <v>221</v>
      </c>
      <c r="C212" s="53" cm="1">
        <f t="array" aca="1" ref="C212" ca="1">IF(ISNUMBER(_xll.VoseSimPercentile(PolS_48,0.1)),_xll.VoseSimPercentile(PolS_48,0.1),NA())</f>
        <v>13</v>
      </c>
      <c r="D212" s="53" cm="1">
        <f t="array" aca="1" ref="D212" ca="1">IF(ISNUMBER(_xll.VoseSimPercentile(PolS_48,0.5)),_xll.VoseSimPercentile(PolS_48,0.5),NA())</f>
        <v>33</v>
      </c>
      <c r="E212" s="53" cm="1">
        <f t="array" aca="1" ref="E212" ca="1">IF(ISNUMBER(_xll.VoseSimPercentile(PolS_48,0.9)),_xll.VoseSimPercentile(PolS_48,0.9),NA())</f>
        <v>63</v>
      </c>
      <c r="F212" s="53" cm="1">
        <f t="array" aca="1" ref="F212" ca="1">IF(ISNUMBER(_xll.VoseSimMean(PolS_48)),_xll.VoseSimMean(PolS_48),NA())</f>
        <v>36.336516825841294</v>
      </c>
    </row>
    <row r="213" spans="2:6" hidden="1" outlineLevel="1" x14ac:dyDescent="0.45">
      <c r="B213" s="54" t="s">
        <v>222</v>
      </c>
      <c r="C213" s="53" cm="1">
        <f t="array" aca="1" ref="C213" ca="1">IF(ISNUMBER(_xll.VoseSimPercentile(PolS_49,0.1)),_xll.VoseSimPercentile(PolS_49,0.1),NA())</f>
        <v>13</v>
      </c>
      <c r="D213" s="53" cm="1">
        <f t="array" aca="1" ref="D213" ca="1">IF(ISNUMBER(_xll.VoseSimPercentile(PolS_49,0.5)),_xll.VoseSimPercentile(PolS_49,0.5),NA())</f>
        <v>33</v>
      </c>
      <c r="E213" s="53" cm="1">
        <f t="array" aca="1" ref="E213" ca="1">IF(ISNUMBER(_xll.VoseSimPercentile(PolS_49,0.9)),_xll.VoseSimPercentile(PolS_49,0.9),NA())</f>
        <v>64</v>
      </c>
      <c r="F213" s="53" cm="1">
        <f t="array" aca="1" ref="F213" ca="1">IF(ISNUMBER(_xll.VoseSimMean(PolS_49)),_xll.VoseSimMean(PolS_49),NA())</f>
        <v>36.445072253612679</v>
      </c>
    </row>
    <row r="214" spans="2:6" hidden="1" outlineLevel="1" x14ac:dyDescent="0.45">
      <c r="B214" s="54" t="s">
        <v>223</v>
      </c>
      <c r="C214" s="53" cm="1">
        <f t="array" aca="1" ref="C214" ca="1">IF(ISNUMBER(_xll.VoseSimPercentile(PolS_50,0.1)),_xll.VoseSimPercentile(PolS_50,0.1),NA())</f>
        <v>13</v>
      </c>
      <c r="D214" s="53" cm="1">
        <f t="array" aca="1" ref="D214" ca="1">IF(ISNUMBER(_xll.VoseSimPercentile(PolS_50,0.5)),_xll.VoseSimPercentile(PolS_50,0.5),NA())</f>
        <v>33</v>
      </c>
      <c r="E214" s="53" cm="1">
        <f t="array" aca="1" ref="E214" ca="1">IF(ISNUMBER(_xll.VoseSimPercentile(PolS_50,0.9)),_xll.VoseSimPercentile(PolS_50,0.9),NA())</f>
        <v>65</v>
      </c>
      <c r="F214" s="53" cm="1">
        <f t="array" aca="1" ref="F214" ca="1">IF(ISNUMBER(_xll.VoseSimMean(PolS_50)),_xll.VoseSimMean(PolS_50),NA())</f>
        <v>36.844792239611984</v>
      </c>
    </row>
  </sheetData>
  <mergeCells count="5">
    <mergeCell ref="B28:G28"/>
    <mergeCell ref="B31:G31"/>
    <mergeCell ref="B27:G27"/>
    <mergeCell ref="B30:G30"/>
    <mergeCell ref="B29:G29"/>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13:F162">
    <cfRule type="expression" dxfId="2" priority="4">
      <formula>ISNA(C113)</formula>
    </cfRule>
  </conditionalFormatting>
  <conditionalFormatting sqref="C165:F214">
    <cfRule type="expression" dxfId="1" priority="5">
      <formula>ISNA(C165)</formula>
    </cfRule>
  </conditionalFormatting>
  <conditionalFormatting sqref="D61:F110">
    <cfRule type="expression" dxfId="0" priority="3">
      <formula>ISNA(D61)</formula>
    </cfRule>
  </conditionalFormatting>
  <hyperlinks>
    <hyperlink ref="B4" location="'Weeks'!A1" display="◂  Week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2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29BAB-4D1E-499F-B4B3-8D6E5BEAC048}">
  <dimension ref="A1:B1"/>
  <sheetViews>
    <sheetView workbookViewId="0"/>
  </sheetViews>
  <sheetFormatPr defaultRowHeight="14.25" x14ac:dyDescent="0.45"/>
  <sheetData>
    <row r="1" spans="1:2" x14ac:dyDescent="0.45">
      <c r="A1" s="59" t="s">
        <v>224</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2ECA7-4B2B-4810-A74C-7C735F07DB2E}">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925F7-BF70-4D07-A8F2-747514422529}">
  <dimension ref="B3:B1542"/>
  <sheetViews>
    <sheetView workbookViewId="0"/>
  </sheetViews>
  <sheetFormatPr defaultRowHeight="14.25" x14ac:dyDescent="0.45"/>
  <sheetData>
    <row r="3" spans="2:2" x14ac:dyDescent="0.45">
      <c r="B3">
        <v>316</v>
      </c>
    </row>
    <row r="4" spans="2:2" x14ac:dyDescent="0.45">
      <c r="B4">
        <v>648</v>
      </c>
    </row>
    <row r="5" spans="2:2" x14ac:dyDescent="0.45">
      <c r="B5">
        <v>522</v>
      </c>
    </row>
    <row r="6" spans="2:2" x14ac:dyDescent="0.45">
      <c r="B6">
        <v>307</v>
      </c>
    </row>
    <row r="7" spans="2:2" x14ac:dyDescent="0.45">
      <c r="B7">
        <v>121</v>
      </c>
    </row>
    <row r="8" spans="2:2" x14ac:dyDescent="0.45">
      <c r="B8">
        <v>53</v>
      </c>
    </row>
    <row r="9" spans="2:2" x14ac:dyDescent="0.45">
      <c r="B9">
        <v>20</v>
      </c>
    </row>
    <row r="10" spans="2:2" x14ac:dyDescent="0.45">
      <c r="B10">
        <v>11</v>
      </c>
    </row>
    <row r="11" spans="2:2" x14ac:dyDescent="0.45">
      <c r="B11">
        <v>1</v>
      </c>
    </row>
    <row r="12" spans="2:2" x14ac:dyDescent="0.45">
      <c r="B12">
        <v>1</v>
      </c>
    </row>
    <row r="13" spans="2:2" x14ac:dyDescent="0.45">
      <c r="B13">
        <v>17</v>
      </c>
    </row>
    <row r="14" spans="2:2" x14ac:dyDescent="0.45">
      <c r="B14">
        <v>69</v>
      </c>
    </row>
    <row r="15" spans="2:2" x14ac:dyDescent="0.45">
      <c r="B15">
        <v>191</v>
      </c>
    </row>
    <row r="16" spans="2:2" x14ac:dyDescent="0.45">
      <c r="B16">
        <v>494</v>
      </c>
    </row>
    <row r="17" spans="2:2" x14ac:dyDescent="0.45">
      <c r="B17">
        <v>454</v>
      </c>
    </row>
    <row r="18" spans="2:2" x14ac:dyDescent="0.45">
      <c r="B18">
        <v>368</v>
      </c>
    </row>
    <row r="19" spans="2:2" x14ac:dyDescent="0.45">
      <c r="B19">
        <v>287</v>
      </c>
    </row>
    <row r="20" spans="2:2" x14ac:dyDescent="0.45">
      <c r="B20">
        <v>86</v>
      </c>
    </row>
    <row r="21" spans="2:2" x14ac:dyDescent="0.45">
      <c r="B21">
        <v>24</v>
      </c>
    </row>
    <row r="22" spans="2:2" x14ac:dyDescent="0.45">
      <c r="B22">
        <v>10</v>
      </c>
    </row>
    <row r="23" spans="2:2" x14ac:dyDescent="0.45">
      <c r="B23">
        <v>340</v>
      </c>
    </row>
    <row r="24" spans="2:2" x14ac:dyDescent="0.45">
      <c r="B24">
        <v>710</v>
      </c>
    </row>
    <row r="25" spans="2:2" x14ac:dyDescent="0.45">
      <c r="B25">
        <v>525</v>
      </c>
    </row>
    <row r="26" spans="2:2" x14ac:dyDescent="0.45">
      <c r="B26">
        <v>261</v>
      </c>
    </row>
    <row r="27" spans="2:2" x14ac:dyDescent="0.45">
      <c r="B27">
        <v>102</v>
      </c>
    </row>
    <row r="28" spans="2:2" x14ac:dyDescent="0.45">
      <c r="B28">
        <v>47</v>
      </c>
    </row>
    <row r="29" spans="2:2" x14ac:dyDescent="0.45">
      <c r="B29">
        <v>6</v>
      </c>
    </row>
    <row r="30" spans="2:2" x14ac:dyDescent="0.45">
      <c r="B30">
        <v>4</v>
      </c>
    </row>
    <row r="31" spans="2:2" x14ac:dyDescent="0.45">
      <c r="B31">
        <v>2</v>
      </c>
    </row>
    <row r="32" spans="2:2" x14ac:dyDescent="0.45">
      <c r="B32">
        <v>3</v>
      </c>
    </row>
    <row r="33" spans="2:2" x14ac:dyDescent="0.45">
      <c r="B33">
        <v>258</v>
      </c>
    </row>
    <row r="34" spans="2:2" x14ac:dyDescent="0.45">
      <c r="B34">
        <v>700</v>
      </c>
    </row>
    <row r="35" spans="2:2" x14ac:dyDescent="0.45">
      <c r="B35">
        <v>515</v>
      </c>
    </row>
    <row r="36" spans="2:2" x14ac:dyDescent="0.45">
      <c r="B36">
        <v>307</v>
      </c>
    </row>
    <row r="37" spans="2:2" x14ac:dyDescent="0.45">
      <c r="B37">
        <v>137</v>
      </c>
    </row>
    <row r="38" spans="2:2" x14ac:dyDescent="0.45">
      <c r="B38">
        <v>50</v>
      </c>
    </row>
    <row r="39" spans="2:2" x14ac:dyDescent="0.45">
      <c r="B39">
        <v>24</v>
      </c>
    </row>
    <row r="40" spans="2:2" x14ac:dyDescent="0.45">
      <c r="B40">
        <v>6</v>
      </c>
    </row>
    <row r="41" spans="2:2" x14ac:dyDescent="0.45">
      <c r="B41">
        <v>1</v>
      </c>
    </row>
    <row r="42" spans="2:2" x14ac:dyDescent="0.45">
      <c r="B42">
        <v>2</v>
      </c>
    </row>
    <row r="43" spans="2:2" x14ac:dyDescent="0.45">
      <c r="B43">
        <v>10</v>
      </c>
    </row>
    <row r="44" spans="2:2" x14ac:dyDescent="0.45">
      <c r="B44">
        <v>92</v>
      </c>
    </row>
    <row r="45" spans="2:2" x14ac:dyDescent="0.45">
      <c r="B45">
        <v>239</v>
      </c>
    </row>
    <row r="46" spans="2:2" x14ac:dyDescent="0.45">
      <c r="B46">
        <v>549</v>
      </c>
    </row>
    <row r="47" spans="2:2" x14ac:dyDescent="0.45">
      <c r="B47">
        <v>443</v>
      </c>
    </row>
    <row r="48" spans="2:2" x14ac:dyDescent="0.45">
      <c r="B48">
        <v>404</v>
      </c>
    </row>
    <row r="49" spans="2:2" x14ac:dyDescent="0.45">
      <c r="B49">
        <v>162</v>
      </c>
    </row>
    <row r="50" spans="2:2" x14ac:dyDescent="0.45">
      <c r="B50">
        <v>77</v>
      </c>
    </row>
    <row r="51" spans="2:2" x14ac:dyDescent="0.45">
      <c r="B51">
        <v>21</v>
      </c>
    </row>
    <row r="52" spans="2:2" x14ac:dyDescent="0.45">
      <c r="B52">
        <v>3</v>
      </c>
    </row>
    <row r="53" spans="2:2" x14ac:dyDescent="0.45">
      <c r="B53">
        <v>320</v>
      </c>
    </row>
    <row r="54" spans="2:2" x14ac:dyDescent="0.45">
      <c r="B54">
        <v>689</v>
      </c>
    </row>
    <row r="55" spans="2:2" x14ac:dyDescent="0.45">
      <c r="B55">
        <v>537</v>
      </c>
    </row>
    <row r="56" spans="2:2" x14ac:dyDescent="0.45">
      <c r="B56">
        <v>256</v>
      </c>
    </row>
    <row r="57" spans="2:2" x14ac:dyDescent="0.45">
      <c r="B57">
        <v>130</v>
      </c>
    </row>
    <row r="58" spans="2:2" x14ac:dyDescent="0.45">
      <c r="B58">
        <v>37</v>
      </c>
    </row>
    <row r="59" spans="2:2" x14ac:dyDescent="0.45">
      <c r="B59">
        <v>17</v>
      </c>
    </row>
    <row r="60" spans="2:2" x14ac:dyDescent="0.45">
      <c r="B60">
        <v>8</v>
      </c>
    </row>
    <row r="61" spans="2:2" x14ac:dyDescent="0.45">
      <c r="B61">
        <v>4</v>
      </c>
    </row>
    <row r="62" spans="2:2" x14ac:dyDescent="0.45">
      <c r="B62">
        <v>2</v>
      </c>
    </row>
    <row r="63" spans="2:2" x14ac:dyDescent="0.45">
      <c r="B63">
        <v>276</v>
      </c>
    </row>
    <row r="64" spans="2:2" x14ac:dyDescent="0.45">
      <c r="B64">
        <v>589</v>
      </c>
    </row>
    <row r="65" spans="2:2" x14ac:dyDescent="0.45">
      <c r="B65">
        <v>549</v>
      </c>
    </row>
    <row r="66" spans="2:2" x14ac:dyDescent="0.45">
      <c r="B66">
        <v>321</v>
      </c>
    </row>
    <row r="67" spans="2:2" x14ac:dyDescent="0.45">
      <c r="B67">
        <v>154</v>
      </c>
    </row>
    <row r="68" spans="2:2" x14ac:dyDescent="0.45">
      <c r="B68">
        <v>68</v>
      </c>
    </row>
    <row r="69" spans="2:2" x14ac:dyDescent="0.45">
      <c r="B69">
        <v>26</v>
      </c>
    </row>
    <row r="70" spans="2:2" x14ac:dyDescent="0.45">
      <c r="B70">
        <v>12</v>
      </c>
    </row>
    <row r="71" spans="2:2" x14ac:dyDescent="0.45">
      <c r="B71">
        <v>3</v>
      </c>
    </row>
    <row r="72" spans="2:2" x14ac:dyDescent="0.45">
      <c r="B72">
        <v>2</v>
      </c>
    </row>
    <row r="73" spans="2:2" x14ac:dyDescent="0.45">
      <c r="B73">
        <v>7</v>
      </c>
    </row>
    <row r="74" spans="2:2" x14ac:dyDescent="0.45">
      <c r="B74">
        <v>54</v>
      </c>
    </row>
    <row r="75" spans="2:2" x14ac:dyDescent="0.45">
      <c r="B75">
        <v>188</v>
      </c>
    </row>
    <row r="76" spans="2:2" x14ac:dyDescent="0.45">
      <c r="B76">
        <v>451</v>
      </c>
    </row>
    <row r="77" spans="2:2" x14ac:dyDescent="0.45">
      <c r="B77">
        <v>589</v>
      </c>
    </row>
    <row r="78" spans="2:2" x14ac:dyDescent="0.45">
      <c r="B78">
        <v>378</v>
      </c>
    </row>
    <row r="79" spans="2:2" x14ac:dyDescent="0.45">
      <c r="B79">
        <v>245</v>
      </c>
    </row>
    <row r="80" spans="2:2" x14ac:dyDescent="0.45">
      <c r="B80">
        <v>62</v>
      </c>
    </row>
    <row r="81" spans="2:2" x14ac:dyDescent="0.45">
      <c r="B81">
        <v>20</v>
      </c>
    </row>
    <row r="82" spans="2:2" x14ac:dyDescent="0.45">
      <c r="B82">
        <v>6</v>
      </c>
    </row>
    <row r="83" spans="2:2" x14ac:dyDescent="0.45">
      <c r="B83">
        <v>365</v>
      </c>
    </row>
    <row r="84" spans="2:2" x14ac:dyDescent="0.45">
      <c r="B84">
        <v>737</v>
      </c>
    </row>
    <row r="85" spans="2:2" x14ac:dyDescent="0.45">
      <c r="B85">
        <v>503</v>
      </c>
    </row>
    <row r="86" spans="2:2" x14ac:dyDescent="0.45">
      <c r="B86">
        <v>245</v>
      </c>
    </row>
    <row r="87" spans="2:2" x14ac:dyDescent="0.45">
      <c r="B87">
        <v>96</v>
      </c>
    </row>
    <row r="88" spans="2:2" x14ac:dyDescent="0.45">
      <c r="B88">
        <v>41</v>
      </c>
    </row>
    <row r="89" spans="2:2" x14ac:dyDescent="0.45">
      <c r="B89">
        <v>8</v>
      </c>
    </row>
    <row r="90" spans="2:2" x14ac:dyDescent="0.45">
      <c r="B90">
        <v>2</v>
      </c>
    </row>
    <row r="91" spans="2:2" x14ac:dyDescent="0.45">
      <c r="B91">
        <v>1</v>
      </c>
    </row>
    <row r="92" spans="2:2" x14ac:dyDescent="0.45">
      <c r="B92">
        <v>2</v>
      </c>
    </row>
    <row r="93" spans="2:2" x14ac:dyDescent="0.45">
      <c r="B93">
        <v>183</v>
      </c>
    </row>
    <row r="94" spans="2:2" x14ac:dyDescent="0.45">
      <c r="B94">
        <v>508</v>
      </c>
    </row>
    <row r="95" spans="2:2" x14ac:dyDescent="0.45">
      <c r="B95">
        <v>551</v>
      </c>
    </row>
    <row r="96" spans="2:2" x14ac:dyDescent="0.45">
      <c r="B96">
        <v>377</v>
      </c>
    </row>
    <row r="97" spans="2:2" x14ac:dyDescent="0.45">
      <c r="B97">
        <v>195</v>
      </c>
    </row>
    <row r="98" spans="2:2" x14ac:dyDescent="0.45">
      <c r="B98">
        <v>98</v>
      </c>
    </row>
    <row r="99" spans="2:2" x14ac:dyDescent="0.45">
      <c r="B99">
        <v>60</v>
      </c>
    </row>
    <row r="100" spans="2:2" x14ac:dyDescent="0.45">
      <c r="B100">
        <v>14</v>
      </c>
    </row>
    <row r="101" spans="2:2" x14ac:dyDescent="0.45">
      <c r="B101">
        <v>10</v>
      </c>
    </row>
    <row r="102" spans="2:2" x14ac:dyDescent="0.45">
      <c r="B102">
        <v>4</v>
      </c>
    </row>
    <row r="103" spans="2:2" x14ac:dyDescent="0.45">
      <c r="B103">
        <v>38</v>
      </c>
    </row>
    <row r="104" spans="2:2" x14ac:dyDescent="0.45">
      <c r="B104">
        <v>200</v>
      </c>
    </row>
    <row r="105" spans="2:2" x14ac:dyDescent="0.45">
      <c r="B105">
        <v>296</v>
      </c>
    </row>
    <row r="106" spans="2:2" x14ac:dyDescent="0.45">
      <c r="B106">
        <v>589</v>
      </c>
    </row>
    <row r="107" spans="2:2" x14ac:dyDescent="0.45">
      <c r="B107">
        <v>376</v>
      </c>
    </row>
    <row r="108" spans="2:2" x14ac:dyDescent="0.45">
      <c r="B108">
        <v>340</v>
      </c>
    </row>
    <row r="109" spans="2:2" x14ac:dyDescent="0.45">
      <c r="B109">
        <v>111</v>
      </c>
    </row>
    <row r="110" spans="2:2" x14ac:dyDescent="0.45">
      <c r="B110">
        <v>38</v>
      </c>
    </row>
    <row r="111" spans="2:2" x14ac:dyDescent="0.45">
      <c r="B111">
        <v>9</v>
      </c>
    </row>
    <row r="112" spans="2:2" x14ac:dyDescent="0.45">
      <c r="B112">
        <v>3</v>
      </c>
    </row>
    <row r="113" spans="2:2" x14ac:dyDescent="0.45">
      <c r="B113">
        <v>319</v>
      </c>
    </row>
    <row r="114" spans="2:2" x14ac:dyDescent="0.45">
      <c r="B114">
        <v>687</v>
      </c>
    </row>
    <row r="115" spans="2:2" x14ac:dyDescent="0.45">
      <c r="B115">
        <v>549</v>
      </c>
    </row>
    <row r="116" spans="2:2" x14ac:dyDescent="0.45">
      <c r="B116">
        <v>257</v>
      </c>
    </row>
    <row r="117" spans="2:2" x14ac:dyDescent="0.45">
      <c r="B117">
        <v>122</v>
      </c>
    </row>
    <row r="118" spans="2:2" x14ac:dyDescent="0.45">
      <c r="B118">
        <v>38</v>
      </c>
    </row>
    <row r="119" spans="2:2" x14ac:dyDescent="0.45">
      <c r="B119">
        <v>18</v>
      </c>
    </row>
    <row r="120" spans="2:2" x14ac:dyDescent="0.45">
      <c r="B120">
        <v>8</v>
      </c>
    </row>
    <row r="121" spans="2:2" x14ac:dyDescent="0.45">
      <c r="B121">
        <v>1</v>
      </c>
    </row>
    <row r="122" spans="2:2" x14ac:dyDescent="0.45">
      <c r="B122">
        <v>1</v>
      </c>
    </row>
    <row r="123" spans="2:2" x14ac:dyDescent="0.45">
      <c r="B123">
        <v>209</v>
      </c>
    </row>
    <row r="124" spans="2:2" x14ac:dyDescent="0.45">
      <c r="B124">
        <v>589</v>
      </c>
    </row>
    <row r="125" spans="2:2" x14ac:dyDescent="0.45">
      <c r="B125">
        <v>552</v>
      </c>
    </row>
    <row r="126" spans="2:2" x14ac:dyDescent="0.45">
      <c r="B126">
        <v>358</v>
      </c>
    </row>
    <row r="127" spans="2:2" x14ac:dyDescent="0.45">
      <c r="B127">
        <v>166</v>
      </c>
    </row>
    <row r="128" spans="2:2" x14ac:dyDescent="0.45">
      <c r="B128">
        <v>72</v>
      </c>
    </row>
    <row r="129" spans="2:2" x14ac:dyDescent="0.45">
      <c r="B129">
        <v>31</v>
      </c>
    </row>
    <row r="130" spans="2:2" x14ac:dyDescent="0.45">
      <c r="B130">
        <v>19</v>
      </c>
    </row>
    <row r="131" spans="2:2" x14ac:dyDescent="0.45">
      <c r="B131">
        <v>2</v>
      </c>
    </row>
    <row r="132" spans="2:2" x14ac:dyDescent="0.45">
      <c r="B132">
        <v>2</v>
      </c>
    </row>
    <row r="133" spans="2:2" x14ac:dyDescent="0.45">
      <c r="B133">
        <v>10</v>
      </c>
    </row>
    <row r="134" spans="2:2" x14ac:dyDescent="0.45">
      <c r="B134">
        <v>78</v>
      </c>
    </row>
    <row r="135" spans="2:2" x14ac:dyDescent="0.45">
      <c r="B135">
        <v>286</v>
      </c>
    </row>
    <row r="136" spans="2:2" x14ac:dyDescent="0.45">
      <c r="B136">
        <v>622</v>
      </c>
    </row>
    <row r="137" spans="2:2" x14ac:dyDescent="0.45">
      <c r="B137">
        <v>495</v>
      </c>
    </row>
    <row r="138" spans="2:2" x14ac:dyDescent="0.45">
      <c r="B138">
        <v>290</v>
      </c>
    </row>
    <row r="139" spans="2:2" x14ac:dyDescent="0.45">
      <c r="B139">
        <v>155</v>
      </c>
    </row>
    <row r="140" spans="2:2" x14ac:dyDescent="0.45">
      <c r="B140">
        <v>53</v>
      </c>
    </row>
    <row r="141" spans="2:2" x14ac:dyDescent="0.45">
      <c r="B141">
        <v>10</v>
      </c>
    </row>
    <row r="142" spans="2:2" x14ac:dyDescent="0.45">
      <c r="B142">
        <v>1</v>
      </c>
    </row>
    <row r="143" spans="2:2" x14ac:dyDescent="0.45">
      <c r="B143">
        <v>338</v>
      </c>
    </row>
    <row r="144" spans="2:2" x14ac:dyDescent="0.45">
      <c r="B144">
        <v>718</v>
      </c>
    </row>
    <row r="145" spans="2:2" x14ac:dyDescent="0.45">
      <c r="B145">
        <v>528</v>
      </c>
    </row>
    <row r="146" spans="2:2" x14ac:dyDescent="0.45">
      <c r="B146">
        <v>232</v>
      </c>
    </row>
    <row r="147" spans="2:2" x14ac:dyDescent="0.45">
      <c r="B147">
        <v>124</v>
      </c>
    </row>
    <row r="148" spans="2:2" x14ac:dyDescent="0.45">
      <c r="B148">
        <v>43</v>
      </c>
    </row>
    <row r="149" spans="2:2" x14ac:dyDescent="0.45">
      <c r="B149">
        <v>13</v>
      </c>
    </row>
    <row r="150" spans="2:2" x14ac:dyDescent="0.45">
      <c r="B150">
        <v>3</v>
      </c>
    </row>
    <row r="151" spans="2:2" x14ac:dyDescent="0.45">
      <c r="B151">
        <v>0</v>
      </c>
    </row>
    <row r="152" spans="2:2" x14ac:dyDescent="0.45">
      <c r="B152">
        <v>1</v>
      </c>
    </row>
    <row r="153" spans="2:2" x14ac:dyDescent="0.45">
      <c r="B153">
        <v>274</v>
      </c>
    </row>
    <row r="154" spans="2:2" x14ac:dyDescent="0.45">
      <c r="B154">
        <v>645</v>
      </c>
    </row>
    <row r="155" spans="2:2" x14ac:dyDescent="0.45">
      <c r="B155">
        <v>544</v>
      </c>
    </row>
    <row r="156" spans="2:2" x14ac:dyDescent="0.45">
      <c r="B156">
        <v>278</v>
      </c>
    </row>
    <row r="157" spans="2:2" x14ac:dyDescent="0.45">
      <c r="B157">
        <v>160</v>
      </c>
    </row>
    <row r="158" spans="2:2" x14ac:dyDescent="0.45">
      <c r="B158">
        <v>64</v>
      </c>
    </row>
    <row r="159" spans="2:2" x14ac:dyDescent="0.45">
      <c r="B159">
        <v>20</v>
      </c>
    </row>
    <row r="160" spans="2:2" x14ac:dyDescent="0.45">
      <c r="B160">
        <v>11</v>
      </c>
    </row>
    <row r="161" spans="2:2" x14ac:dyDescent="0.45">
      <c r="B161">
        <v>3</v>
      </c>
    </row>
    <row r="162" spans="2:2" x14ac:dyDescent="0.45">
      <c r="B162">
        <v>1</v>
      </c>
    </row>
    <row r="163" spans="2:2" x14ac:dyDescent="0.45">
      <c r="B163">
        <v>32</v>
      </c>
    </row>
    <row r="164" spans="2:2" x14ac:dyDescent="0.45">
      <c r="B164">
        <v>88</v>
      </c>
    </row>
    <row r="165" spans="2:2" x14ac:dyDescent="0.45">
      <c r="B165">
        <v>367</v>
      </c>
    </row>
    <row r="166" spans="2:2" x14ac:dyDescent="0.45">
      <c r="B166">
        <v>417</v>
      </c>
    </row>
    <row r="167" spans="2:2" x14ac:dyDescent="0.45">
      <c r="B167">
        <v>546</v>
      </c>
    </row>
    <row r="168" spans="2:2" x14ac:dyDescent="0.45">
      <c r="B168">
        <v>304</v>
      </c>
    </row>
    <row r="169" spans="2:2" x14ac:dyDescent="0.45">
      <c r="B169">
        <v>145</v>
      </c>
    </row>
    <row r="170" spans="2:2" x14ac:dyDescent="0.45">
      <c r="B170">
        <v>87</v>
      </c>
    </row>
    <row r="171" spans="2:2" x14ac:dyDescent="0.45">
      <c r="B171">
        <v>9</v>
      </c>
    </row>
    <row r="172" spans="2:2" x14ac:dyDescent="0.45">
      <c r="B172">
        <v>5</v>
      </c>
    </row>
    <row r="173" spans="2:2" x14ac:dyDescent="0.45">
      <c r="B173">
        <v>226</v>
      </c>
    </row>
    <row r="174" spans="2:2" x14ac:dyDescent="0.45">
      <c r="B174">
        <v>665</v>
      </c>
    </row>
    <row r="175" spans="2:2" x14ac:dyDescent="0.45">
      <c r="B175">
        <v>521</v>
      </c>
    </row>
    <row r="176" spans="2:2" x14ac:dyDescent="0.45">
      <c r="B176">
        <v>344</v>
      </c>
    </row>
    <row r="177" spans="2:2" x14ac:dyDescent="0.45">
      <c r="B177">
        <v>142</v>
      </c>
    </row>
    <row r="178" spans="2:2" x14ac:dyDescent="0.45">
      <c r="B178">
        <v>55</v>
      </c>
    </row>
    <row r="179" spans="2:2" x14ac:dyDescent="0.45">
      <c r="B179">
        <v>28</v>
      </c>
    </row>
    <row r="180" spans="2:2" x14ac:dyDescent="0.45">
      <c r="B180">
        <v>11</v>
      </c>
    </row>
    <row r="181" spans="2:2" x14ac:dyDescent="0.45">
      <c r="B181">
        <v>7</v>
      </c>
    </row>
    <row r="182" spans="2:2" x14ac:dyDescent="0.45">
      <c r="B182">
        <v>1</v>
      </c>
    </row>
    <row r="183" spans="2:2" x14ac:dyDescent="0.45">
      <c r="B183">
        <v>221</v>
      </c>
    </row>
    <row r="184" spans="2:2" x14ac:dyDescent="0.45">
      <c r="B184">
        <v>570</v>
      </c>
    </row>
    <row r="185" spans="2:2" x14ac:dyDescent="0.45">
      <c r="B185">
        <v>546</v>
      </c>
    </row>
    <row r="186" spans="2:2" x14ac:dyDescent="0.45">
      <c r="B186">
        <v>350</v>
      </c>
    </row>
    <row r="187" spans="2:2" x14ac:dyDescent="0.45">
      <c r="B187">
        <v>178</v>
      </c>
    </row>
    <row r="188" spans="2:2" x14ac:dyDescent="0.45">
      <c r="B188">
        <v>80</v>
      </c>
    </row>
    <row r="189" spans="2:2" x14ac:dyDescent="0.45">
      <c r="B189">
        <v>30</v>
      </c>
    </row>
    <row r="190" spans="2:2" x14ac:dyDescent="0.45">
      <c r="B190">
        <v>15</v>
      </c>
    </row>
    <row r="191" spans="2:2" x14ac:dyDescent="0.45">
      <c r="B191">
        <v>8</v>
      </c>
    </row>
    <row r="192" spans="2:2" x14ac:dyDescent="0.45">
      <c r="B192">
        <v>2</v>
      </c>
    </row>
    <row r="193" spans="2:2" x14ac:dyDescent="0.45">
      <c r="B193">
        <v>3</v>
      </c>
    </row>
    <row r="194" spans="2:2" x14ac:dyDescent="0.45">
      <c r="B194">
        <v>42</v>
      </c>
    </row>
    <row r="195" spans="2:2" x14ac:dyDescent="0.45">
      <c r="B195">
        <v>130</v>
      </c>
    </row>
    <row r="196" spans="2:2" x14ac:dyDescent="0.45">
      <c r="B196">
        <v>436</v>
      </c>
    </row>
    <row r="197" spans="2:2" x14ac:dyDescent="0.45">
      <c r="B197">
        <v>579</v>
      </c>
    </row>
    <row r="198" spans="2:2" x14ac:dyDescent="0.45">
      <c r="B198">
        <v>390</v>
      </c>
    </row>
    <row r="199" spans="2:2" x14ac:dyDescent="0.45">
      <c r="B199">
        <v>287</v>
      </c>
    </row>
    <row r="200" spans="2:2" x14ac:dyDescent="0.45">
      <c r="B200">
        <v>86</v>
      </c>
    </row>
    <row r="201" spans="2:2" x14ac:dyDescent="0.45">
      <c r="B201">
        <v>40</v>
      </c>
    </row>
    <row r="202" spans="2:2" x14ac:dyDescent="0.45">
      <c r="B202">
        <v>7</v>
      </c>
    </row>
    <row r="203" spans="2:2" x14ac:dyDescent="0.45">
      <c r="B203">
        <v>300</v>
      </c>
    </row>
    <row r="204" spans="2:2" x14ac:dyDescent="0.45">
      <c r="B204">
        <v>657</v>
      </c>
    </row>
    <row r="205" spans="2:2" x14ac:dyDescent="0.45">
      <c r="B205">
        <v>523</v>
      </c>
    </row>
    <row r="206" spans="2:2" x14ac:dyDescent="0.45">
      <c r="B206">
        <v>288</v>
      </c>
    </row>
    <row r="207" spans="2:2" x14ac:dyDescent="0.45">
      <c r="B207">
        <v>136</v>
      </c>
    </row>
    <row r="208" spans="2:2" x14ac:dyDescent="0.45">
      <c r="B208">
        <v>55</v>
      </c>
    </row>
    <row r="209" spans="2:2" x14ac:dyDescent="0.45">
      <c r="B209">
        <v>28</v>
      </c>
    </row>
    <row r="210" spans="2:2" x14ac:dyDescent="0.45">
      <c r="B210">
        <v>6</v>
      </c>
    </row>
    <row r="211" spans="2:2" x14ac:dyDescent="0.45">
      <c r="B211">
        <v>3</v>
      </c>
    </row>
    <row r="212" spans="2:2" x14ac:dyDescent="0.45">
      <c r="B212">
        <v>4</v>
      </c>
    </row>
    <row r="213" spans="2:2" x14ac:dyDescent="0.45">
      <c r="B213">
        <v>243</v>
      </c>
    </row>
    <row r="214" spans="2:2" x14ac:dyDescent="0.45">
      <c r="B214">
        <v>596</v>
      </c>
    </row>
    <row r="215" spans="2:2" x14ac:dyDescent="0.45">
      <c r="B215">
        <v>532</v>
      </c>
    </row>
    <row r="216" spans="2:2" x14ac:dyDescent="0.45">
      <c r="B216">
        <v>338</v>
      </c>
    </row>
    <row r="217" spans="2:2" x14ac:dyDescent="0.45">
      <c r="B217">
        <v>159</v>
      </c>
    </row>
    <row r="218" spans="2:2" x14ac:dyDescent="0.45">
      <c r="B218">
        <v>78</v>
      </c>
    </row>
    <row r="219" spans="2:2" x14ac:dyDescent="0.45">
      <c r="B219">
        <v>32</v>
      </c>
    </row>
    <row r="220" spans="2:2" x14ac:dyDescent="0.45">
      <c r="B220">
        <v>13</v>
      </c>
    </row>
    <row r="221" spans="2:2" x14ac:dyDescent="0.45">
      <c r="B221">
        <v>6</v>
      </c>
    </row>
    <row r="222" spans="2:2" x14ac:dyDescent="0.45">
      <c r="B222">
        <v>3</v>
      </c>
    </row>
    <row r="223" spans="2:2" x14ac:dyDescent="0.45">
      <c r="B223">
        <v>10</v>
      </c>
    </row>
    <row r="224" spans="2:2" x14ac:dyDescent="0.45">
      <c r="B224">
        <v>62</v>
      </c>
    </row>
    <row r="225" spans="2:2" x14ac:dyDescent="0.45">
      <c r="B225">
        <v>151</v>
      </c>
    </row>
    <row r="226" spans="2:2" x14ac:dyDescent="0.45">
      <c r="B226">
        <v>501</v>
      </c>
    </row>
    <row r="227" spans="2:2" x14ac:dyDescent="0.45">
      <c r="B227">
        <v>437</v>
      </c>
    </row>
    <row r="228" spans="2:2" x14ac:dyDescent="0.45">
      <c r="B228">
        <v>505</v>
      </c>
    </row>
    <row r="229" spans="2:2" x14ac:dyDescent="0.45">
      <c r="B229">
        <v>194</v>
      </c>
    </row>
    <row r="230" spans="2:2" x14ac:dyDescent="0.45">
      <c r="B230">
        <v>105</v>
      </c>
    </row>
    <row r="231" spans="2:2" x14ac:dyDescent="0.45">
      <c r="B231">
        <v>25</v>
      </c>
    </row>
    <row r="232" spans="2:2" x14ac:dyDescent="0.45">
      <c r="B232">
        <v>10</v>
      </c>
    </row>
    <row r="233" spans="2:2" x14ac:dyDescent="0.45">
      <c r="B233">
        <v>473</v>
      </c>
    </row>
    <row r="234" spans="2:2" x14ac:dyDescent="0.45">
      <c r="B234">
        <v>848</v>
      </c>
    </row>
    <row r="235" spans="2:2" x14ac:dyDescent="0.45">
      <c r="B235">
        <v>427</v>
      </c>
    </row>
    <row r="236" spans="2:2" x14ac:dyDescent="0.45">
      <c r="B236">
        <v>178</v>
      </c>
    </row>
    <row r="237" spans="2:2" x14ac:dyDescent="0.45">
      <c r="B237">
        <v>49</v>
      </c>
    </row>
    <row r="238" spans="2:2" x14ac:dyDescent="0.45">
      <c r="B238">
        <v>13</v>
      </c>
    </row>
    <row r="239" spans="2:2" x14ac:dyDescent="0.45">
      <c r="B239">
        <v>6</v>
      </c>
    </row>
    <row r="240" spans="2:2" x14ac:dyDescent="0.45">
      <c r="B240">
        <v>4</v>
      </c>
    </row>
    <row r="241" spans="2:2" x14ac:dyDescent="0.45">
      <c r="B241">
        <v>1</v>
      </c>
    </row>
    <row r="242" spans="2:2" x14ac:dyDescent="0.45">
      <c r="B242">
        <v>1</v>
      </c>
    </row>
    <row r="243" spans="2:2" x14ac:dyDescent="0.45">
      <c r="B243">
        <v>249</v>
      </c>
    </row>
    <row r="244" spans="2:2" x14ac:dyDescent="0.45">
      <c r="B244">
        <v>599</v>
      </c>
    </row>
    <row r="245" spans="2:2" x14ac:dyDescent="0.45">
      <c r="B245">
        <v>509</v>
      </c>
    </row>
    <row r="246" spans="2:2" x14ac:dyDescent="0.45">
      <c r="B246">
        <v>323</v>
      </c>
    </row>
    <row r="247" spans="2:2" x14ac:dyDescent="0.45">
      <c r="B247">
        <v>188</v>
      </c>
    </row>
    <row r="248" spans="2:2" x14ac:dyDescent="0.45">
      <c r="B248">
        <v>81</v>
      </c>
    </row>
    <row r="249" spans="2:2" x14ac:dyDescent="0.45">
      <c r="B249">
        <v>25</v>
      </c>
    </row>
    <row r="250" spans="2:2" x14ac:dyDescent="0.45">
      <c r="B250">
        <v>18</v>
      </c>
    </row>
    <row r="251" spans="2:2" x14ac:dyDescent="0.45">
      <c r="B251">
        <v>5</v>
      </c>
    </row>
    <row r="252" spans="2:2" x14ac:dyDescent="0.45">
      <c r="B252">
        <v>3</v>
      </c>
    </row>
    <row r="253" spans="2:2" x14ac:dyDescent="0.45">
      <c r="B253">
        <v>12</v>
      </c>
    </row>
    <row r="254" spans="2:2" x14ac:dyDescent="0.45">
      <c r="B254">
        <v>45</v>
      </c>
    </row>
    <row r="255" spans="2:2" x14ac:dyDescent="0.45">
      <c r="B255">
        <v>258</v>
      </c>
    </row>
    <row r="256" spans="2:2" x14ac:dyDescent="0.45">
      <c r="B256">
        <v>364</v>
      </c>
    </row>
    <row r="257" spans="2:2" x14ac:dyDescent="0.45">
      <c r="B257">
        <v>573</v>
      </c>
    </row>
    <row r="258" spans="2:2" x14ac:dyDescent="0.45">
      <c r="B258">
        <v>378</v>
      </c>
    </row>
    <row r="259" spans="2:2" x14ac:dyDescent="0.45">
      <c r="B259">
        <v>223</v>
      </c>
    </row>
    <row r="260" spans="2:2" x14ac:dyDescent="0.45">
      <c r="B260">
        <v>120</v>
      </c>
    </row>
    <row r="261" spans="2:2" x14ac:dyDescent="0.45">
      <c r="B261">
        <v>25</v>
      </c>
    </row>
    <row r="262" spans="2:2" x14ac:dyDescent="0.45">
      <c r="B262">
        <v>2</v>
      </c>
    </row>
    <row r="263" spans="2:2" x14ac:dyDescent="0.45">
      <c r="B263">
        <v>342</v>
      </c>
    </row>
    <row r="264" spans="2:2" x14ac:dyDescent="0.45">
      <c r="B264">
        <v>685</v>
      </c>
    </row>
    <row r="265" spans="2:2" x14ac:dyDescent="0.45">
      <c r="B265">
        <v>535</v>
      </c>
    </row>
    <row r="266" spans="2:2" x14ac:dyDescent="0.45">
      <c r="B266">
        <v>244</v>
      </c>
    </row>
    <row r="267" spans="2:2" x14ac:dyDescent="0.45">
      <c r="B267">
        <v>105</v>
      </c>
    </row>
    <row r="268" spans="2:2" x14ac:dyDescent="0.45">
      <c r="B268">
        <v>57</v>
      </c>
    </row>
    <row r="269" spans="2:2" x14ac:dyDescent="0.45">
      <c r="B269">
        <v>24</v>
      </c>
    </row>
    <row r="270" spans="2:2" x14ac:dyDescent="0.45">
      <c r="B270">
        <v>3</v>
      </c>
    </row>
    <row r="271" spans="2:2" x14ac:dyDescent="0.45">
      <c r="B271">
        <v>3</v>
      </c>
    </row>
    <row r="272" spans="2:2" x14ac:dyDescent="0.45">
      <c r="B272">
        <v>2</v>
      </c>
    </row>
    <row r="273" spans="2:2" x14ac:dyDescent="0.45">
      <c r="B273">
        <v>382</v>
      </c>
    </row>
    <row r="274" spans="2:2" x14ac:dyDescent="0.45">
      <c r="B274">
        <v>674</v>
      </c>
    </row>
    <row r="275" spans="2:2" x14ac:dyDescent="0.45">
      <c r="B275">
        <v>481</v>
      </c>
    </row>
    <row r="276" spans="2:2" x14ac:dyDescent="0.45">
      <c r="B276">
        <v>263</v>
      </c>
    </row>
    <row r="277" spans="2:2" x14ac:dyDescent="0.45">
      <c r="B277">
        <v>123</v>
      </c>
    </row>
    <row r="278" spans="2:2" x14ac:dyDescent="0.45">
      <c r="B278">
        <v>42</v>
      </c>
    </row>
    <row r="279" spans="2:2" x14ac:dyDescent="0.45">
      <c r="B279">
        <v>24</v>
      </c>
    </row>
    <row r="280" spans="2:2" x14ac:dyDescent="0.45">
      <c r="B280">
        <v>8</v>
      </c>
    </row>
    <row r="281" spans="2:2" x14ac:dyDescent="0.45">
      <c r="B281">
        <v>2</v>
      </c>
    </row>
    <row r="282" spans="2:2" x14ac:dyDescent="0.45">
      <c r="B282">
        <v>1</v>
      </c>
    </row>
    <row r="283" spans="2:2" x14ac:dyDescent="0.45">
      <c r="B283">
        <v>25</v>
      </c>
    </row>
    <row r="284" spans="2:2" x14ac:dyDescent="0.45">
      <c r="B284">
        <v>124</v>
      </c>
    </row>
    <row r="285" spans="2:2" x14ac:dyDescent="0.45">
      <c r="B285">
        <v>396</v>
      </c>
    </row>
    <row r="286" spans="2:2" x14ac:dyDescent="0.45">
      <c r="B286">
        <v>554</v>
      </c>
    </row>
    <row r="287" spans="2:2" x14ac:dyDescent="0.45">
      <c r="B287">
        <v>493</v>
      </c>
    </row>
    <row r="288" spans="2:2" x14ac:dyDescent="0.45">
      <c r="B288">
        <v>221</v>
      </c>
    </row>
    <row r="289" spans="2:2" x14ac:dyDescent="0.45">
      <c r="B289">
        <v>136</v>
      </c>
    </row>
    <row r="290" spans="2:2" x14ac:dyDescent="0.45">
      <c r="B290">
        <v>38</v>
      </c>
    </row>
    <row r="291" spans="2:2" x14ac:dyDescent="0.45">
      <c r="B291">
        <v>10</v>
      </c>
    </row>
    <row r="292" spans="2:2" x14ac:dyDescent="0.45">
      <c r="B292">
        <v>3</v>
      </c>
    </row>
    <row r="293" spans="2:2" x14ac:dyDescent="0.45">
      <c r="B293">
        <v>302</v>
      </c>
    </row>
    <row r="294" spans="2:2" x14ac:dyDescent="0.45">
      <c r="B294">
        <v>569</v>
      </c>
    </row>
    <row r="295" spans="2:2" x14ac:dyDescent="0.45">
      <c r="B295">
        <v>517</v>
      </c>
    </row>
    <row r="296" spans="2:2" x14ac:dyDescent="0.45">
      <c r="B296">
        <v>306</v>
      </c>
    </row>
    <row r="297" spans="2:2" x14ac:dyDescent="0.45">
      <c r="B297">
        <v>194</v>
      </c>
    </row>
    <row r="298" spans="2:2" x14ac:dyDescent="0.45">
      <c r="B298">
        <v>78</v>
      </c>
    </row>
    <row r="299" spans="2:2" x14ac:dyDescent="0.45">
      <c r="B299">
        <v>21</v>
      </c>
    </row>
    <row r="300" spans="2:2" x14ac:dyDescent="0.45">
      <c r="B300">
        <v>5</v>
      </c>
    </row>
    <row r="301" spans="2:2" x14ac:dyDescent="0.45">
      <c r="B301">
        <v>3</v>
      </c>
    </row>
    <row r="302" spans="2:2" x14ac:dyDescent="0.45">
      <c r="B302">
        <v>5</v>
      </c>
    </row>
    <row r="303" spans="2:2" x14ac:dyDescent="0.45">
      <c r="B303">
        <v>213</v>
      </c>
    </row>
    <row r="304" spans="2:2" x14ac:dyDescent="0.45">
      <c r="B304">
        <v>558</v>
      </c>
    </row>
    <row r="305" spans="2:2" x14ac:dyDescent="0.45">
      <c r="B305">
        <v>487</v>
      </c>
    </row>
    <row r="306" spans="2:2" x14ac:dyDescent="0.45">
      <c r="B306">
        <v>389</v>
      </c>
    </row>
    <row r="307" spans="2:2" x14ac:dyDescent="0.45">
      <c r="B307">
        <v>179</v>
      </c>
    </row>
    <row r="308" spans="2:2" x14ac:dyDescent="0.45">
      <c r="B308">
        <v>98</v>
      </c>
    </row>
    <row r="309" spans="2:2" x14ac:dyDescent="0.45">
      <c r="B309">
        <v>40</v>
      </c>
    </row>
    <row r="310" spans="2:2" x14ac:dyDescent="0.45">
      <c r="B310">
        <v>20</v>
      </c>
    </row>
    <row r="311" spans="2:2" x14ac:dyDescent="0.45">
      <c r="B311">
        <v>10</v>
      </c>
    </row>
    <row r="312" spans="2:2" x14ac:dyDescent="0.45">
      <c r="B312">
        <v>6</v>
      </c>
    </row>
    <row r="313" spans="2:2" x14ac:dyDescent="0.45">
      <c r="B313">
        <v>7</v>
      </c>
    </row>
    <row r="314" spans="2:2" x14ac:dyDescent="0.45">
      <c r="B314">
        <v>49</v>
      </c>
    </row>
    <row r="315" spans="2:2" x14ac:dyDescent="0.45">
      <c r="B315">
        <v>230</v>
      </c>
    </row>
    <row r="316" spans="2:2" x14ac:dyDescent="0.45">
      <c r="B316">
        <v>316</v>
      </c>
    </row>
    <row r="317" spans="2:2" x14ac:dyDescent="0.45">
      <c r="B317">
        <v>596</v>
      </c>
    </row>
    <row r="318" spans="2:2" x14ac:dyDescent="0.45">
      <c r="B318">
        <v>466</v>
      </c>
    </row>
    <row r="319" spans="2:2" x14ac:dyDescent="0.45">
      <c r="B319">
        <v>188</v>
      </c>
    </row>
    <row r="320" spans="2:2" x14ac:dyDescent="0.45">
      <c r="B320">
        <v>116</v>
      </c>
    </row>
    <row r="321" spans="2:2" x14ac:dyDescent="0.45">
      <c r="B321">
        <v>28</v>
      </c>
    </row>
    <row r="322" spans="2:2" x14ac:dyDescent="0.45">
      <c r="B322">
        <v>4</v>
      </c>
    </row>
    <row r="323" spans="2:2" x14ac:dyDescent="0.45">
      <c r="B323">
        <v>188</v>
      </c>
    </row>
    <row r="324" spans="2:2" x14ac:dyDescent="0.45">
      <c r="B324">
        <v>510</v>
      </c>
    </row>
    <row r="325" spans="2:2" x14ac:dyDescent="0.45">
      <c r="B325">
        <v>562</v>
      </c>
    </row>
    <row r="326" spans="2:2" x14ac:dyDescent="0.45">
      <c r="B326">
        <v>376</v>
      </c>
    </row>
    <row r="327" spans="2:2" x14ac:dyDescent="0.45">
      <c r="B327">
        <v>205</v>
      </c>
    </row>
    <row r="328" spans="2:2" x14ac:dyDescent="0.45">
      <c r="B328">
        <v>85</v>
      </c>
    </row>
    <row r="329" spans="2:2" x14ac:dyDescent="0.45">
      <c r="B329">
        <v>48</v>
      </c>
    </row>
    <row r="330" spans="2:2" x14ac:dyDescent="0.45">
      <c r="B330">
        <v>19</v>
      </c>
    </row>
    <row r="331" spans="2:2" x14ac:dyDescent="0.45">
      <c r="B331">
        <v>6</v>
      </c>
    </row>
    <row r="332" spans="2:2" x14ac:dyDescent="0.45">
      <c r="B332">
        <v>1</v>
      </c>
    </row>
    <row r="333" spans="2:2" x14ac:dyDescent="0.45">
      <c r="B333">
        <v>338</v>
      </c>
    </row>
    <row r="334" spans="2:2" x14ac:dyDescent="0.45">
      <c r="B334">
        <v>620</v>
      </c>
    </row>
    <row r="335" spans="2:2" x14ac:dyDescent="0.45">
      <c r="B335">
        <v>524</v>
      </c>
    </row>
    <row r="336" spans="2:2" x14ac:dyDescent="0.45">
      <c r="B336">
        <v>290</v>
      </c>
    </row>
    <row r="337" spans="2:2" x14ac:dyDescent="0.45">
      <c r="B337">
        <v>141</v>
      </c>
    </row>
    <row r="338" spans="2:2" x14ac:dyDescent="0.45">
      <c r="B338">
        <v>53</v>
      </c>
    </row>
    <row r="339" spans="2:2" x14ac:dyDescent="0.45">
      <c r="B339">
        <v>17</v>
      </c>
    </row>
    <row r="340" spans="2:2" x14ac:dyDescent="0.45">
      <c r="B340">
        <v>11</v>
      </c>
    </row>
    <row r="341" spans="2:2" x14ac:dyDescent="0.45">
      <c r="B341">
        <v>5</v>
      </c>
    </row>
    <row r="342" spans="2:2" x14ac:dyDescent="0.45">
      <c r="B342">
        <v>1</v>
      </c>
    </row>
    <row r="343" spans="2:2" x14ac:dyDescent="0.45">
      <c r="B343">
        <v>10</v>
      </c>
    </row>
    <row r="344" spans="2:2" x14ac:dyDescent="0.45">
      <c r="B344">
        <v>76</v>
      </c>
    </row>
    <row r="345" spans="2:2" x14ac:dyDescent="0.45">
      <c r="B345">
        <v>172</v>
      </c>
    </row>
    <row r="346" spans="2:2" x14ac:dyDescent="0.45">
      <c r="B346">
        <v>486</v>
      </c>
    </row>
    <row r="347" spans="2:2" x14ac:dyDescent="0.45">
      <c r="B347">
        <v>590</v>
      </c>
    </row>
    <row r="348" spans="2:2" x14ac:dyDescent="0.45">
      <c r="B348">
        <v>332</v>
      </c>
    </row>
    <row r="349" spans="2:2" x14ac:dyDescent="0.45">
      <c r="B349">
        <v>232</v>
      </c>
    </row>
    <row r="350" spans="2:2" x14ac:dyDescent="0.45">
      <c r="B350">
        <v>67</v>
      </c>
    </row>
    <row r="351" spans="2:2" x14ac:dyDescent="0.45">
      <c r="B351">
        <v>31</v>
      </c>
    </row>
    <row r="352" spans="2:2" x14ac:dyDescent="0.45">
      <c r="B352">
        <v>4</v>
      </c>
    </row>
    <row r="353" spans="2:2" x14ac:dyDescent="0.45">
      <c r="B353">
        <v>230</v>
      </c>
    </row>
    <row r="354" spans="2:2" x14ac:dyDescent="0.45">
      <c r="B354">
        <v>611</v>
      </c>
    </row>
    <row r="355" spans="2:2" x14ac:dyDescent="0.45">
      <c r="B355">
        <v>523</v>
      </c>
    </row>
    <row r="356" spans="2:2" x14ac:dyDescent="0.45">
      <c r="B356">
        <v>348</v>
      </c>
    </row>
    <row r="357" spans="2:2" x14ac:dyDescent="0.45">
      <c r="B357">
        <v>160</v>
      </c>
    </row>
    <row r="358" spans="2:2" x14ac:dyDescent="0.45">
      <c r="B358">
        <v>78</v>
      </c>
    </row>
    <row r="359" spans="2:2" x14ac:dyDescent="0.45">
      <c r="B359">
        <v>28</v>
      </c>
    </row>
    <row r="360" spans="2:2" x14ac:dyDescent="0.45">
      <c r="B360">
        <v>14</v>
      </c>
    </row>
    <row r="361" spans="2:2" x14ac:dyDescent="0.45">
      <c r="B361">
        <v>7</v>
      </c>
    </row>
    <row r="362" spans="2:2" x14ac:dyDescent="0.45">
      <c r="B362">
        <v>1</v>
      </c>
    </row>
    <row r="363" spans="2:2" x14ac:dyDescent="0.45">
      <c r="B363">
        <v>316</v>
      </c>
    </row>
    <row r="364" spans="2:2" x14ac:dyDescent="0.45">
      <c r="B364">
        <v>747</v>
      </c>
    </row>
    <row r="365" spans="2:2" x14ac:dyDescent="0.45">
      <c r="B365">
        <v>533</v>
      </c>
    </row>
    <row r="366" spans="2:2" x14ac:dyDescent="0.45">
      <c r="B366">
        <v>241</v>
      </c>
    </row>
    <row r="367" spans="2:2" x14ac:dyDescent="0.45">
      <c r="B367">
        <v>109</v>
      </c>
    </row>
    <row r="368" spans="2:2" x14ac:dyDescent="0.45">
      <c r="B368">
        <v>33</v>
      </c>
    </row>
    <row r="369" spans="2:2" x14ac:dyDescent="0.45">
      <c r="B369">
        <v>19</v>
      </c>
    </row>
    <row r="370" spans="2:2" x14ac:dyDescent="0.45">
      <c r="B370">
        <v>1</v>
      </c>
    </row>
    <row r="371" spans="2:2" x14ac:dyDescent="0.45">
      <c r="B371">
        <v>0</v>
      </c>
    </row>
    <row r="372" spans="2:2" x14ac:dyDescent="0.45">
      <c r="B372">
        <v>1</v>
      </c>
    </row>
    <row r="373" spans="2:2" x14ac:dyDescent="0.45">
      <c r="B373">
        <v>13</v>
      </c>
    </row>
    <row r="374" spans="2:2" x14ac:dyDescent="0.45">
      <c r="B374">
        <v>61</v>
      </c>
    </row>
    <row r="375" spans="2:2" x14ac:dyDescent="0.45">
      <c r="B375">
        <v>284</v>
      </c>
    </row>
    <row r="376" spans="2:2" x14ac:dyDescent="0.45">
      <c r="B376">
        <v>356</v>
      </c>
    </row>
    <row r="377" spans="2:2" x14ac:dyDescent="0.45">
      <c r="B377">
        <v>565</v>
      </c>
    </row>
    <row r="378" spans="2:2" x14ac:dyDescent="0.45">
      <c r="B378">
        <v>443</v>
      </c>
    </row>
    <row r="379" spans="2:2" x14ac:dyDescent="0.45">
      <c r="B379">
        <v>168</v>
      </c>
    </row>
    <row r="380" spans="2:2" x14ac:dyDescent="0.45">
      <c r="B380">
        <v>94</v>
      </c>
    </row>
    <row r="381" spans="2:2" x14ac:dyDescent="0.45">
      <c r="B381">
        <v>13</v>
      </c>
    </row>
    <row r="382" spans="2:2" x14ac:dyDescent="0.45">
      <c r="B382">
        <v>3</v>
      </c>
    </row>
    <row r="383" spans="2:2" x14ac:dyDescent="0.45">
      <c r="B383">
        <v>270</v>
      </c>
    </row>
    <row r="384" spans="2:2" x14ac:dyDescent="0.45">
      <c r="B384">
        <v>530</v>
      </c>
    </row>
    <row r="385" spans="2:2" x14ac:dyDescent="0.45">
      <c r="B385">
        <v>543</v>
      </c>
    </row>
    <row r="386" spans="2:2" x14ac:dyDescent="0.45">
      <c r="B386">
        <v>306</v>
      </c>
    </row>
    <row r="387" spans="2:2" x14ac:dyDescent="0.45">
      <c r="B387">
        <v>189</v>
      </c>
    </row>
    <row r="388" spans="2:2" x14ac:dyDescent="0.45">
      <c r="B388">
        <v>88</v>
      </c>
    </row>
    <row r="389" spans="2:2" x14ac:dyDescent="0.45">
      <c r="B389">
        <v>43</v>
      </c>
    </row>
    <row r="390" spans="2:2" x14ac:dyDescent="0.45">
      <c r="B390">
        <v>17</v>
      </c>
    </row>
    <row r="391" spans="2:2" x14ac:dyDescent="0.45">
      <c r="B391">
        <v>8</v>
      </c>
    </row>
    <row r="392" spans="2:2" x14ac:dyDescent="0.45">
      <c r="B392">
        <v>6</v>
      </c>
    </row>
    <row r="393" spans="2:2" x14ac:dyDescent="0.45">
      <c r="B393">
        <v>258</v>
      </c>
    </row>
    <row r="394" spans="2:2" x14ac:dyDescent="0.45">
      <c r="B394">
        <v>596</v>
      </c>
    </row>
    <row r="395" spans="2:2" x14ac:dyDescent="0.45">
      <c r="B395">
        <v>537</v>
      </c>
    </row>
    <row r="396" spans="2:2" x14ac:dyDescent="0.45">
      <c r="B396">
        <v>320</v>
      </c>
    </row>
    <row r="397" spans="2:2" x14ac:dyDescent="0.45">
      <c r="B397">
        <v>158</v>
      </c>
    </row>
    <row r="398" spans="2:2" x14ac:dyDescent="0.45">
      <c r="B398">
        <v>82</v>
      </c>
    </row>
    <row r="399" spans="2:2" x14ac:dyDescent="0.45">
      <c r="B399">
        <v>31</v>
      </c>
    </row>
    <row r="400" spans="2:2" x14ac:dyDescent="0.45">
      <c r="B400">
        <v>10</v>
      </c>
    </row>
    <row r="401" spans="2:2" x14ac:dyDescent="0.45">
      <c r="B401">
        <v>7</v>
      </c>
    </row>
    <row r="402" spans="2:2" x14ac:dyDescent="0.45">
      <c r="B402">
        <v>1</v>
      </c>
    </row>
    <row r="403" spans="2:2" x14ac:dyDescent="0.45">
      <c r="B403">
        <v>20</v>
      </c>
    </row>
    <row r="404" spans="2:2" x14ac:dyDescent="0.45">
      <c r="B404">
        <v>69</v>
      </c>
    </row>
    <row r="405" spans="2:2" x14ac:dyDescent="0.45">
      <c r="B405">
        <v>247</v>
      </c>
    </row>
    <row r="406" spans="2:2" x14ac:dyDescent="0.45">
      <c r="B406">
        <v>375</v>
      </c>
    </row>
    <row r="407" spans="2:2" x14ac:dyDescent="0.45">
      <c r="B407">
        <v>604</v>
      </c>
    </row>
    <row r="408" spans="2:2" x14ac:dyDescent="0.45">
      <c r="B408">
        <v>336</v>
      </c>
    </row>
    <row r="409" spans="2:2" x14ac:dyDescent="0.45">
      <c r="B409">
        <v>182</v>
      </c>
    </row>
    <row r="410" spans="2:2" x14ac:dyDescent="0.45">
      <c r="B410">
        <v>134</v>
      </c>
    </row>
    <row r="411" spans="2:2" x14ac:dyDescent="0.45">
      <c r="B411">
        <v>22</v>
      </c>
    </row>
    <row r="412" spans="2:2" x14ac:dyDescent="0.45">
      <c r="B412">
        <v>11</v>
      </c>
    </row>
    <row r="413" spans="2:2" x14ac:dyDescent="0.45">
      <c r="B413">
        <v>231</v>
      </c>
    </row>
    <row r="414" spans="2:2" x14ac:dyDescent="0.45">
      <c r="B414">
        <v>522</v>
      </c>
    </row>
    <row r="415" spans="2:2" x14ac:dyDescent="0.45">
      <c r="B415">
        <v>568</v>
      </c>
    </row>
    <row r="416" spans="2:2" x14ac:dyDescent="0.45">
      <c r="B416">
        <v>319</v>
      </c>
    </row>
    <row r="417" spans="2:2" x14ac:dyDescent="0.45">
      <c r="B417">
        <v>200</v>
      </c>
    </row>
    <row r="418" spans="2:2" x14ac:dyDescent="0.45">
      <c r="B418">
        <v>92</v>
      </c>
    </row>
    <row r="419" spans="2:2" x14ac:dyDescent="0.45">
      <c r="B419">
        <v>46</v>
      </c>
    </row>
    <row r="420" spans="2:2" x14ac:dyDescent="0.45">
      <c r="B420">
        <v>17</v>
      </c>
    </row>
    <row r="421" spans="2:2" x14ac:dyDescent="0.45">
      <c r="B421">
        <v>3</v>
      </c>
    </row>
    <row r="422" spans="2:2" x14ac:dyDescent="0.45">
      <c r="B422">
        <v>2</v>
      </c>
    </row>
    <row r="423" spans="2:2" x14ac:dyDescent="0.45">
      <c r="B423">
        <v>302</v>
      </c>
    </row>
    <row r="424" spans="2:2" x14ac:dyDescent="0.45">
      <c r="B424">
        <v>767</v>
      </c>
    </row>
    <row r="425" spans="2:2" x14ac:dyDescent="0.45">
      <c r="B425">
        <v>533</v>
      </c>
    </row>
    <row r="426" spans="2:2" x14ac:dyDescent="0.45">
      <c r="B426">
        <v>235</v>
      </c>
    </row>
    <row r="427" spans="2:2" x14ac:dyDescent="0.45">
      <c r="B427">
        <v>106</v>
      </c>
    </row>
    <row r="428" spans="2:2" x14ac:dyDescent="0.45">
      <c r="B428">
        <v>38</v>
      </c>
    </row>
    <row r="429" spans="2:2" x14ac:dyDescent="0.45">
      <c r="B429">
        <v>13</v>
      </c>
    </row>
    <row r="430" spans="2:2" x14ac:dyDescent="0.45">
      <c r="B430">
        <v>4</v>
      </c>
    </row>
    <row r="431" spans="2:2" x14ac:dyDescent="0.45">
      <c r="B431">
        <v>0</v>
      </c>
    </row>
    <row r="432" spans="2:2" x14ac:dyDescent="0.45">
      <c r="B432">
        <v>2</v>
      </c>
    </row>
    <row r="433" spans="2:2" x14ac:dyDescent="0.45">
      <c r="B433">
        <v>4</v>
      </c>
    </row>
    <row r="434" spans="2:2" x14ac:dyDescent="0.45">
      <c r="B434">
        <v>69</v>
      </c>
    </row>
    <row r="435" spans="2:2" x14ac:dyDescent="0.45">
      <c r="B435">
        <v>345</v>
      </c>
    </row>
    <row r="436" spans="2:2" x14ac:dyDescent="0.45">
      <c r="B436">
        <v>547</v>
      </c>
    </row>
    <row r="437" spans="2:2" x14ac:dyDescent="0.45">
      <c r="B437">
        <v>640</v>
      </c>
    </row>
    <row r="438" spans="2:2" x14ac:dyDescent="0.45">
      <c r="B438">
        <v>281</v>
      </c>
    </row>
    <row r="439" spans="2:2" x14ac:dyDescent="0.45">
      <c r="B439">
        <v>86</v>
      </c>
    </row>
    <row r="440" spans="2:2" x14ac:dyDescent="0.45">
      <c r="B440">
        <v>25</v>
      </c>
    </row>
    <row r="441" spans="2:2" x14ac:dyDescent="0.45">
      <c r="B441">
        <v>2</v>
      </c>
    </row>
    <row r="442" spans="2:2" x14ac:dyDescent="0.45">
      <c r="B442">
        <v>1</v>
      </c>
    </row>
    <row r="443" spans="2:2" x14ac:dyDescent="0.45">
      <c r="B443">
        <v>180</v>
      </c>
    </row>
    <row r="444" spans="2:2" x14ac:dyDescent="0.45">
      <c r="B444">
        <v>478</v>
      </c>
    </row>
    <row r="445" spans="2:2" x14ac:dyDescent="0.45">
      <c r="B445">
        <v>489</v>
      </c>
    </row>
    <row r="446" spans="2:2" x14ac:dyDescent="0.45">
      <c r="B446">
        <v>377</v>
      </c>
    </row>
    <row r="447" spans="2:2" x14ac:dyDescent="0.45">
      <c r="B447">
        <v>228</v>
      </c>
    </row>
    <row r="448" spans="2:2" x14ac:dyDescent="0.45">
      <c r="B448">
        <v>120</v>
      </c>
    </row>
    <row r="449" spans="2:2" x14ac:dyDescent="0.45">
      <c r="B449">
        <v>67</v>
      </c>
    </row>
    <row r="450" spans="2:2" x14ac:dyDescent="0.45">
      <c r="B450">
        <v>38</v>
      </c>
    </row>
    <row r="451" spans="2:2" x14ac:dyDescent="0.45">
      <c r="B451">
        <v>15</v>
      </c>
    </row>
    <row r="452" spans="2:2" x14ac:dyDescent="0.45">
      <c r="B452">
        <v>8</v>
      </c>
    </row>
    <row r="453" spans="2:2" x14ac:dyDescent="0.45">
      <c r="B453">
        <v>222</v>
      </c>
    </row>
    <row r="454" spans="2:2" x14ac:dyDescent="0.45">
      <c r="B454">
        <v>540</v>
      </c>
    </row>
    <row r="455" spans="2:2" x14ac:dyDescent="0.45">
      <c r="B455">
        <v>592</v>
      </c>
    </row>
    <row r="456" spans="2:2" x14ac:dyDescent="0.45">
      <c r="B456">
        <v>334</v>
      </c>
    </row>
    <row r="457" spans="2:2" x14ac:dyDescent="0.45">
      <c r="B457">
        <v>169</v>
      </c>
    </row>
    <row r="458" spans="2:2" x14ac:dyDescent="0.45">
      <c r="B458">
        <v>81</v>
      </c>
    </row>
    <row r="459" spans="2:2" x14ac:dyDescent="0.45">
      <c r="B459">
        <v>35</v>
      </c>
    </row>
    <row r="460" spans="2:2" x14ac:dyDescent="0.45">
      <c r="B460">
        <v>17</v>
      </c>
    </row>
    <row r="461" spans="2:2" x14ac:dyDescent="0.45">
      <c r="B461">
        <v>7</v>
      </c>
    </row>
    <row r="462" spans="2:2" x14ac:dyDescent="0.45">
      <c r="B462">
        <v>3</v>
      </c>
    </row>
    <row r="463" spans="2:2" x14ac:dyDescent="0.45">
      <c r="B463">
        <v>4</v>
      </c>
    </row>
    <row r="464" spans="2:2" x14ac:dyDescent="0.45">
      <c r="B464">
        <v>41</v>
      </c>
    </row>
    <row r="465" spans="2:2" x14ac:dyDescent="0.45">
      <c r="B465">
        <v>156</v>
      </c>
    </row>
    <row r="466" spans="2:2" x14ac:dyDescent="0.45">
      <c r="B466">
        <v>425</v>
      </c>
    </row>
    <row r="467" spans="2:2" x14ac:dyDescent="0.45">
      <c r="B467">
        <v>586</v>
      </c>
    </row>
    <row r="468" spans="2:2" x14ac:dyDescent="0.45">
      <c r="B468">
        <v>371</v>
      </c>
    </row>
    <row r="469" spans="2:2" x14ac:dyDescent="0.45">
      <c r="B469">
        <v>287</v>
      </c>
    </row>
    <row r="470" spans="2:2" x14ac:dyDescent="0.45">
      <c r="B470">
        <v>97</v>
      </c>
    </row>
    <row r="471" spans="2:2" x14ac:dyDescent="0.45">
      <c r="B471">
        <v>30</v>
      </c>
    </row>
    <row r="472" spans="2:2" x14ac:dyDescent="0.45">
      <c r="B472">
        <v>3</v>
      </c>
    </row>
    <row r="473" spans="2:2" x14ac:dyDescent="0.45">
      <c r="B473">
        <v>451</v>
      </c>
    </row>
    <row r="474" spans="2:2" x14ac:dyDescent="0.45">
      <c r="B474">
        <v>874</v>
      </c>
    </row>
    <row r="475" spans="2:2" x14ac:dyDescent="0.45">
      <c r="B475">
        <v>420</v>
      </c>
    </row>
    <row r="476" spans="2:2" x14ac:dyDescent="0.45">
      <c r="B476">
        <v>164</v>
      </c>
    </row>
    <row r="477" spans="2:2" x14ac:dyDescent="0.45">
      <c r="B477">
        <v>71</v>
      </c>
    </row>
    <row r="478" spans="2:2" x14ac:dyDescent="0.45">
      <c r="B478">
        <v>12</v>
      </c>
    </row>
    <row r="479" spans="2:2" x14ac:dyDescent="0.45">
      <c r="B479">
        <v>6</v>
      </c>
    </row>
    <row r="480" spans="2:2" x14ac:dyDescent="0.45">
      <c r="B480">
        <v>1</v>
      </c>
    </row>
    <row r="481" spans="2:2" x14ac:dyDescent="0.45">
      <c r="B481">
        <v>0</v>
      </c>
    </row>
    <row r="482" spans="2:2" x14ac:dyDescent="0.45">
      <c r="B482">
        <v>1</v>
      </c>
    </row>
    <row r="483" spans="2:2" x14ac:dyDescent="0.45">
      <c r="B483">
        <v>256</v>
      </c>
    </row>
    <row r="484" spans="2:2" x14ac:dyDescent="0.45">
      <c r="B484">
        <v>600</v>
      </c>
    </row>
    <row r="485" spans="2:2" x14ac:dyDescent="0.45">
      <c r="B485">
        <v>562</v>
      </c>
    </row>
    <row r="486" spans="2:2" x14ac:dyDescent="0.45">
      <c r="B486">
        <v>320</v>
      </c>
    </row>
    <row r="487" spans="2:2" x14ac:dyDescent="0.45">
      <c r="B487">
        <v>153</v>
      </c>
    </row>
    <row r="488" spans="2:2" x14ac:dyDescent="0.45">
      <c r="B488">
        <v>63</v>
      </c>
    </row>
    <row r="489" spans="2:2" x14ac:dyDescent="0.45">
      <c r="B489">
        <v>27</v>
      </c>
    </row>
    <row r="490" spans="2:2" x14ac:dyDescent="0.45">
      <c r="B490">
        <v>13</v>
      </c>
    </row>
    <row r="491" spans="2:2" x14ac:dyDescent="0.45">
      <c r="B491">
        <v>4</v>
      </c>
    </row>
    <row r="492" spans="2:2" x14ac:dyDescent="0.45">
      <c r="B492">
        <v>2</v>
      </c>
    </row>
    <row r="493" spans="2:2" x14ac:dyDescent="0.45">
      <c r="B493">
        <v>8</v>
      </c>
    </row>
    <row r="494" spans="2:2" x14ac:dyDescent="0.45">
      <c r="B494">
        <v>47</v>
      </c>
    </row>
    <row r="495" spans="2:2" x14ac:dyDescent="0.45">
      <c r="B495">
        <v>143</v>
      </c>
    </row>
    <row r="496" spans="2:2" x14ac:dyDescent="0.45">
      <c r="B496">
        <v>442</v>
      </c>
    </row>
    <row r="497" spans="2:2" x14ac:dyDescent="0.45">
      <c r="B497">
        <v>410</v>
      </c>
    </row>
    <row r="498" spans="2:2" x14ac:dyDescent="0.45">
      <c r="B498">
        <v>510</v>
      </c>
    </row>
    <row r="499" spans="2:2" x14ac:dyDescent="0.45">
      <c r="B499">
        <v>247</v>
      </c>
    </row>
    <row r="500" spans="2:2" x14ac:dyDescent="0.45">
      <c r="B500">
        <v>139</v>
      </c>
    </row>
    <row r="501" spans="2:2" x14ac:dyDescent="0.45">
      <c r="B501">
        <v>43</v>
      </c>
    </row>
    <row r="502" spans="2:2" x14ac:dyDescent="0.45">
      <c r="B502">
        <v>11</v>
      </c>
    </row>
    <row r="503" spans="2:2" x14ac:dyDescent="0.45">
      <c r="B503">
        <v>291</v>
      </c>
    </row>
    <row r="504" spans="2:2" x14ac:dyDescent="0.45">
      <c r="B504">
        <v>689</v>
      </c>
    </row>
    <row r="505" spans="2:2" x14ac:dyDescent="0.45">
      <c r="B505">
        <v>478</v>
      </c>
    </row>
    <row r="506" spans="2:2" x14ac:dyDescent="0.45">
      <c r="B506">
        <v>292</v>
      </c>
    </row>
    <row r="507" spans="2:2" x14ac:dyDescent="0.45">
      <c r="B507">
        <v>134</v>
      </c>
    </row>
    <row r="508" spans="2:2" x14ac:dyDescent="0.45">
      <c r="B508">
        <v>74</v>
      </c>
    </row>
    <row r="509" spans="2:2" x14ac:dyDescent="0.45">
      <c r="B509">
        <v>25</v>
      </c>
    </row>
    <row r="510" spans="2:2" x14ac:dyDescent="0.45">
      <c r="B510">
        <v>13</v>
      </c>
    </row>
    <row r="511" spans="2:2" x14ac:dyDescent="0.45">
      <c r="B511">
        <v>2</v>
      </c>
    </row>
    <row r="512" spans="2:2" x14ac:dyDescent="0.45">
      <c r="B512">
        <v>2</v>
      </c>
    </row>
    <row r="513" spans="2:2" x14ac:dyDescent="0.45">
      <c r="B513">
        <v>257</v>
      </c>
    </row>
    <row r="514" spans="2:2" x14ac:dyDescent="0.45">
      <c r="B514">
        <v>599</v>
      </c>
    </row>
    <row r="515" spans="2:2" x14ac:dyDescent="0.45">
      <c r="B515">
        <v>525</v>
      </c>
    </row>
    <row r="516" spans="2:2" x14ac:dyDescent="0.45">
      <c r="B516">
        <v>350</v>
      </c>
    </row>
    <row r="517" spans="2:2" x14ac:dyDescent="0.45">
      <c r="B517">
        <v>154</v>
      </c>
    </row>
    <row r="518" spans="2:2" x14ac:dyDescent="0.45">
      <c r="B518">
        <v>71</v>
      </c>
    </row>
    <row r="519" spans="2:2" x14ac:dyDescent="0.45">
      <c r="B519">
        <v>25</v>
      </c>
    </row>
    <row r="520" spans="2:2" x14ac:dyDescent="0.45">
      <c r="B520">
        <v>15</v>
      </c>
    </row>
    <row r="521" spans="2:2" x14ac:dyDescent="0.45">
      <c r="B521">
        <v>2</v>
      </c>
    </row>
    <row r="522" spans="2:2" x14ac:dyDescent="0.45">
      <c r="B522">
        <v>2</v>
      </c>
    </row>
    <row r="523" spans="2:2" x14ac:dyDescent="0.45">
      <c r="B523">
        <v>6</v>
      </c>
    </row>
    <row r="524" spans="2:2" x14ac:dyDescent="0.45">
      <c r="B524">
        <v>53</v>
      </c>
    </row>
    <row r="525" spans="2:2" x14ac:dyDescent="0.45">
      <c r="B525">
        <v>216</v>
      </c>
    </row>
    <row r="526" spans="2:2" x14ac:dyDescent="0.45">
      <c r="B526">
        <v>322</v>
      </c>
    </row>
    <row r="527" spans="2:2" x14ac:dyDescent="0.45">
      <c r="B527">
        <v>562</v>
      </c>
    </row>
    <row r="528" spans="2:2" x14ac:dyDescent="0.45">
      <c r="B528">
        <v>463</v>
      </c>
    </row>
    <row r="529" spans="2:2" x14ac:dyDescent="0.45">
      <c r="B529">
        <v>215</v>
      </c>
    </row>
    <row r="530" spans="2:2" x14ac:dyDescent="0.45">
      <c r="B530">
        <v>120</v>
      </c>
    </row>
    <row r="531" spans="2:2" x14ac:dyDescent="0.45">
      <c r="B531">
        <v>34</v>
      </c>
    </row>
    <row r="532" spans="2:2" x14ac:dyDescent="0.45">
      <c r="B532">
        <v>9</v>
      </c>
    </row>
    <row r="533" spans="2:2" x14ac:dyDescent="0.45">
      <c r="B533">
        <v>258</v>
      </c>
    </row>
    <row r="534" spans="2:2" x14ac:dyDescent="0.45">
      <c r="B534">
        <v>552</v>
      </c>
    </row>
    <row r="535" spans="2:2" x14ac:dyDescent="0.45">
      <c r="B535">
        <v>481</v>
      </c>
    </row>
    <row r="536" spans="2:2" x14ac:dyDescent="0.45">
      <c r="B536">
        <v>376</v>
      </c>
    </row>
    <row r="537" spans="2:2" x14ac:dyDescent="0.45">
      <c r="B537">
        <v>188</v>
      </c>
    </row>
    <row r="538" spans="2:2" x14ac:dyDescent="0.45">
      <c r="B538">
        <v>89</v>
      </c>
    </row>
    <row r="539" spans="2:2" x14ac:dyDescent="0.45">
      <c r="B539">
        <v>34</v>
      </c>
    </row>
    <row r="540" spans="2:2" x14ac:dyDescent="0.45">
      <c r="B540">
        <v>14</v>
      </c>
    </row>
    <row r="541" spans="2:2" x14ac:dyDescent="0.45">
      <c r="B541">
        <v>5</v>
      </c>
    </row>
    <row r="542" spans="2:2" x14ac:dyDescent="0.45">
      <c r="B542">
        <v>3</v>
      </c>
    </row>
    <row r="543" spans="2:2" x14ac:dyDescent="0.45">
      <c r="B543">
        <v>284</v>
      </c>
    </row>
    <row r="544" spans="2:2" x14ac:dyDescent="0.45">
      <c r="B544">
        <v>655</v>
      </c>
    </row>
    <row r="545" spans="2:2" x14ac:dyDescent="0.45">
      <c r="B545">
        <v>521</v>
      </c>
    </row>
    <row r="546" spans="2:2" x14ac:dyDescent="0.45">
      <c r="B546">
        <v>311</v>
      </c>
    </row>
    <row r="547" spans="2:2" x14ac:dyDescent="0.45">
      <c r="B547">
        <v>139</v>
      </c>
    </row>
    <row r="548" spans="2:2" x14ac:dyDescent="0.45">
      <c r="B548">
        <v>61</v>
      </c>
    </row>
    <row r="549" spans="2:2" x14ac:dyDescent="0.45">
      <c r="B549">
        <v>17</v>
      </c>
    </row>
    <row r="550" spans="2:2" x14ac:dyDescent="0.45">
      <c r="B550">
        <v>8</v>
      </c>
    </row>
    <row r="551" spans="2:2" x14ac:dyDescent="0.45">
      <c r="B551">
        <v>3</v>
      </c>
    </row>
    <row r="552" spans="2:2" x14ac:dyDescent="0.45">
      <c r="B552">
        <v>1</v>
      </c>
    </row>
    <row r="553" spans="2:2" x14ac:dyDescent="0.45">
      <c r="B553">
        <v>7</v>
      </c>
    </row>
    <row r="554" spans="2:2" x14ac:dyDescent="0.45">
      <c r="B554">
        <v>86</v>
      </c>
    </row>
    <row r="555" spans="2:2" x14ac:dyDescent="0.45">
      <c r="B555">
        <v>256</v>
      </c>
    </row>
    <row r="556" spans="2:2" x14ac:dyDescent="0.45">
      <c r="B556">
        <v>331</v>
      </c>
    </row>
    <row r="557" spans="2:2" x14ac:dyDescent="0.45">
      <c r="B557">
        <v>567</v>
      </c>
    </row>
    <row r="558" spans="2:2" x14ac:dyDescent="0.45">
      <c r="B558">
        <v>427</v>
      </c>
    </row>
    <row r="559" spans="2:2" x14ac:dyDescent="0.45">
      <c r="B559">
        <v>186</v>
      </c>
    </row>
    <row r="560" spans="2:2" x14ac:dyDescent="0.45">
      <c r="B560">
        <v>108</v>
      </c>
    </row>
    <row r="561" spans="2:2" x14ac:dyDescent="0.45">
      <c r="B561">
        <v>28</v>
      </c>
    </row>
    <row r="562" spans="2:2" x14ac:dyDescent="0.45">
      <c r="B562">
        <v>4</v>
      </c>
    </row>
    <row r="563" spans="2:2" x14ac:dyDescent="0.45">
      <c r="B563">
        <v>328</v>
      </c>
    </row>
    <row r="564" spans="2:2" x14ac:dyDescent="0.45">
      <c r="B564">
        <v>743</v>
      </c>
    </row>
    <row r="565" spans="2:2" x14ac:dyDescent="0.45">
      <c r="B565">
        <v>524</v>
      </c>
    </row>
    <row r="566" spans="2:2" x14ac:dyDescent="0.45">
      <c r="B566">
        <v>245</v>
      </c>
    </row>
    <row r="567" spans="2:2" x14ac:dyDescent="0.45">
      <c r="B567">
        <v>110</v>
      </c>
    </row>
    <row r="568" spans="2:2" x14ac:dyDescent="0.45">
      <c r="B568">
        <v>31</v>
      </c>
    </row>
    <row r="569" spans="2:2" x14ac:dyDescent="0.45">
      <c r="B569">
        <v>15</v>
      </c>
    </row>
    <row r="570" spans="2:2" x14ac:dyDescent="0.45">
      <c r="B570">
        <v>3</v>
      </c>
    </row>
    <row r="571" spans="2:2" x14ac:dyDescent="0.45">
      <c r="B571">
        <v>0</v>
      </c>
    </row>
    <row r="572" spans="2:2" x14ac:dyDescent="0.45">
      <c r="B572">
        <v>1</v>
      </c>
    </row>
    <row r="573" spans="2:2" x14ac:dyDescent="0.45">
      <c r="B573">
        <v>395</v>
      </c>
    </row>
    <row r="574" spans="2:2" x14ac:dyDescent="0.45">
      <c r="B574">
        <v>684</v>
      </c>
    </row>
    <row r="575" spans="2:2" x14ac:dyDescent="0.45">
      <c r="B575">
        <v>527</v>
      </c>
    </row>
    <row r="576" spans="2:2" x14ac:dyDescent="0.45">
      <c r="B576">
        <v>249</v>
      </c>
    </row>
    <row r="577" spans="2:2" x14ac:dyDescent="0.45">
      <c r="B577">
        <v>94</v>
      </c>
    </row>
    <row r="578" spans="2:2" x14ac:dyDescent="0.45">
      <c r="B578">
        <v>31</v>
      </c>
    </row>
    <row r="579" spans="2:2" x14ac:dyDescent="0.45">
      <c r="B579">
        <v>15</v>
      </c>
    </row>
    <row r="580" spans="2:2" x14ac:dyDescent="0.45">
      <c r="B580">
        <v>4</v>
      </c>
    </row>
    <row r="581" spans="2:2" x14ac:dyDescent="0.45">
      <c r="B581">
        <v>0</v>
      </c>
    </row>
    <row r="582" spans="2:2" x14ac:dyDescent="0.45">
      <c r="B582">
        <v>1</v>
      </c>
    </row>
    <row r="583" spans="2:2" x14ac:dyDescent="0.45">
      <c r="B583">
        <v>15</v>
      </c>
    </row>
    <row r="584" spans="2:2" x14ac:dyDescent="0.45">
      <c r="B584">
        <v>108</v>
      </c>
    </row>
    <row r="585" spans="2:2" x14ac:dyDescent="0.45">
      <c r="B585">
        <v>207</v>
      </c>
    </row>
    <row r="586" spans="2:2" x14ac:dyDescent="0.45">
      <c r="B586">
        <v>476</v>
      </c>
    </row>
    <row r="587" spans="2:2" x14ac:dyDescent="0.45">
      <c r="B587">
        <v>557</v>
      </c>
    </row>
    <row r="588" spans="2:2" x14ac:dyDescent="0.45">
      <c r="B588">
        <v>340</v>
      </c>
    </row>
    <row r="589" spans="2:2" x14ac:dyDescent="0.45">
      <c r="B589">
        <v>215</v>
      </c>
    </row>
    <row r="590" spans="2:2" x14ac:dyDescent="0.45">
      <c r="B590">
        <v>61</v>
      </c>
    </row>
    <row r="591" spans="2:2" x14ac:dyDescent="0.45">
      <c r="B591">
        <v>18</v>
      </c>
    </row>
    <row r="592" spans="2:2" x14ac:dyDescent="0.45">
      <c r="B592">
        <v>3</v>
      </c>
    </row>
    <row r="593" spans="2:2" x14ac:dyDescent="0.45">
      <c r="B593">
        <v>309</v>
      </c>
    </row>
    <row r="594" spans="2:2" x14ac:dyDescent="0.45">
      <c r="B594">
        <v>575</v>
      </c>
    </row>
    <row r="595" spans="2:2" x14ac:dyDescent="0.45">
      <c r="B595">
        <v>462</v>
      </c>
    </row>
    <row r="596" spans="2:2" x14ac:dyDescent="0.45">
      <c r="B596">
        <v>381</v>
      </c>
    </row>
    <row r="597" spans="2:2" x14ac:dyDescent="0.45">
      <c r="B597">
        <v>153</v>
      </c>
    </row>
    <row r="598" spans="2:2" x14ac:dyDescent="0.45">
      <c r="B598">
        <v>75</v>
      </c>
    </row>
    <row r="599" spans="2:2" x14ac:dyDescent="0.45">
      <c r="B599">
        <v>25</v>
      </c>
    </row>
    <row r="600" spans="2:2" x14ac:dyDescent="0.45">
      <c r="B600">
        <v>11</v>
      </c>
    </row>
    <row r="601" spans="2:2" x14ac:dyDescent="0.45">
      <c r="B601">
        <v>6</v>
      </c>
    </row>
    <row r="602" spans="2:2" x14ac:dyDescent="0.45">
      <c r="B602">
        <v>3</v>
      </c>
    </row>
    <row r="603" spans="2:2" x14ac:dyDescent="0.45">
      <c r="B603">
        <v>287</v>
      </c>
    </row>
    <row r="604" spans="2:2" x14ac:dyDescent="0.45">
      <c r="B604">
        <v>591</v>
      </c>
    </row>
    <row r="605" spans="2:2" x14ac:dyDescent="0.45">
      <c r="B605">
        <v>519</v>
      </c>
    </row>
    <row r="606" spans="2:2" x14ac:dyDescent="0.45">
      <c r="B606">
        <v>335</v>
      </c>
    </row>
    <row r="607" spans="2:2" x14ac:dyDescent="0.45">
      <c r="B607">
        <v>151</v>
      </c>
    </row>
    <row r="608" spans="2:2" x14ac:dyDescent="0.45">
      <c r="B608">
        <v>68</v>
      </c>
    </row>
    <row r="609" spans="2:2" x14ac:dyDescent="0.45">
      <c r="B609">
        <v>32</v>
      </c>
    </row>
    <row r="610" spans="2:2" x14ac:dyDescent="0.45">
      <c r="B610">
        <v>11</v>
      </c>
    </row>
    <row r="611" spans="2:2" x14ac:dyDescent="0.45">
      <c r="B611">
        <v>4</v>
      </c>
    </row>
    <row r="612" spans="2:2" x14ac:dyDescent="0.45">
      <c r="B612">
        <v>2</v>
      </c>
    </row>
    <row r="613" spans="2:2" x14ac:dyDescent="0.45">
      <c r="B613">
        <v>23</v>
      </c>
    </row>
    <row r="614" spans="2:2" x14ac:dyDescent="0.45">
      <c r="B614">
        <v>84</v>
      </c>
    </row>
    <row r="615" spans="2:2" x14ac:dyDescent="0.45">
      <c r="B615">
        <v>317</v>
      </c>
    </row>
    <row r="616" spans="2:2" x14ac:dyDescent="0.45">
      <c r="B616">
        <v>526</v>
      </c>
    </row>
    <row r="617" spans="2:2" x14ac:dyDescent="0.45">
      <c r="B617">
        <v>557</v>
      </c>
    </row>
    <row r="618" spans="2:2" x14ac:dyDescent="0.45">
      <c r="B618">
        <v>299</v>
      </c>
    </row>
    <row r="619" spans="2:2" x14ac:dyDescent="0.45">
      <c r="B619">
        <v>145</v>
      </c>
    </row>
    <row r="620" spans="2:2" x14ac:dyDescent="0.45">
      <c r="B620">
        <v>40</v>
      </c>
    </row>
    <row r="621" spans="2:2" x14ac:dyDescent="0.45">
      <c r="B621">
        <v>8</v>
      </c>
    </row>
    <row r="622" spans="2:2" x14ac:dyDescent="0.45">
      <c r="B622">
        <v>1</v>
      </c>
    </row>
    <row r="623" spans="2:2" x14ac:dyDescent="0.45">
      <c r="B623">
        <v>262</v>
      </c>
    </row>
    <row r="624" spans="2:2" x14ac:dyDescent="0.45">
      <c r="B624">
        <v>567</v>
      </c>
    </row>
    <row r="625" spans="2:2" x14ac:dyDescent="0.45">
      <c r="B625">
        <v>537</v>
      </c>
    </row>
    <row r="626" spans="2:2" x14ac:dyDescent="0.45">
      <c r="B626">
        <v>351</v>
      </c>
    </row>
    <row r="627" spans="2:2" x14ac:dyDescent="0.45">
      <c r="B627">
        <v>166</v>
      </c>
    </row>
    <row r="628" spans="2:2" x14ac:dyDescent="0.45">
      <c r="B628">
        <v>74</v>
      </c>
    </row>
    <row r="629" spans="2:2" x14ac:dyDescent="0.45">
      <c r="B629">
        <v>28</v>
      </c>
    </row>
    <row r="630" spans="2:2" x14ac:dyDescent="0.45">
      <c r="B630">
        <v>9</v>
      </c>
    </row>
    <row r="631" spans="2:2" x14ac:dyDescent="0.45">
      <c r="B631">
        <v>2</v>
      </c>
    </row>
    <row r="632" spans="2:2" x14ac:dyDescent="0.45">
      <c r="B632">
        <v>4</v>
      </c>
    </row>
    <row r="633" spans="2:2" x14ac:dyDescent="0.45">
      <c r="B633">
        <v>294</v>
      </c>
    </row>
    <row r="634" spans="2:2" x14ac:dyDescent="0.45">
      <c r="B634">
        <v>670</v>
      </c>
    </row>
    <row r="635" spans="2:2" x14ac:dyDescent="0.45">
      <c r="B635">
        <v>530</v>
      </c>
    </row>
    <row r="636" spans="2:2" x14ac:dyDescent="0.45">
      <c r="B636">
        <v>294</v>
      </c>
    </row>
    <row r="637" spans="2:2" x14ac:dyDescent="0.45">
      <c r="B637">
        <v>131</v>
      </c>
    </row>
    <row r="638" spans="2:2" x14ac:dyDescent="0.45">
      <c r="B638">
        <v>58</v>
      </c>
    </row>
    <row r="639" spans="2:2" x14ac:dyDescent="0.45">
      <c r="B639">
        <v>12</v>
      </c>
    </row>
    <row r="640" spans="2:2" x14ac:dyDescent="0.45">
      <c r="B640">
        <v>9</v>
      </c>
    </row>
    <row r="641" spans="2:2" x14ac:dyDescent="0.45">
      <c r="B641">
        <v>1</v>
      </c>
    </row>
    <row r="642" spans="2:2" x14ac:dyDescent="0.45">
      <c r="B642">
        <v>1</v>
      </c>
    </row>
    <row r="643" spans="2:2" x14ac:dyDescent="0.45">
      <c r="B643">
        <v>17</v>
      </c>
    </row>
    <row r="644" spans="2:2" x14ac:dyDescent="0.45">
      <c r="B644">
        <v>76</v>
      </c>
    </row>
    <row r="645" spans="2:2" x14ac:dyDescent="0.45">
      <c r="B645">
        <v>391</v>
      </c>
    </row>
    <row r="646" spans="2:2" x14ac:dyDescent="0.45">
      <c r="B646">
        <v>552</v>
      </c>
    </row>
    <row r="647" spans="2:2" x14ac:dyDescent="0.45">
      <c r="B647">
        <v>608</v>
      </c>
    </row>
    <row r="648" spans="2:2" x14ac:dyDescent="0.45">
      <c r="B648">
        <v>249</v>
      </c>
    </row>
    <row r="649" spans="2:2" x14ac:dyDescent="0.45">
      <c r="B649">
        <v>83</v>
      </c>
    </row>
    <row r="650" spans="2:2" x14ac:dyDescent="0.45">
      <c r="B650">
        <v>22</v>
      </c>
    </row>
    <row r="651" spans="2:2" x14ac:dyDescent="0.45">
      <c r="B651">
        <v>1</v>
      </c>
    </row>
    <row r="652" spans="2:2" x14ac:dyDescent="0.45">
      <c r="B652">
        <v>1</v>
      </c>
    </row>
    <row r="653" spans="2:2" x14ac:dyDescent="0.45">
      <c r="B653">
        <v>361</v>
      </c>
    </row>
    <row r="654" spans="2:2" x14ac:dyDescent="0.45">
      <c r="B654">
        <v>772</v>
      </c>
    </row>
    <row r="655" spans="2:2" x14ac:dyDescent="0.45">
      <c r="B655">
        <v>535</v>
      </c>
    </row>
    <row r="656" spans="2:2" x14ac:dyDescent="0.45">
      <c r="B656">
        <v>224</v>
      </c>
    </row>
    <row r="657" spans="2:2" x14ac:dyDescent="0.45">
      <c r="B657">
        <v>76</v>
      </c>
    </row>
    <row r="658" spans="2:2" x14ac:dyDescent="0.45">
      <c r="B658">
        <v>23</v>
      </c>
    </row>
    <row r="659" spans="2:2" x14ac:dyDescent="0.45">
      <c r="B659">
        <v>6</v>
      </c>
    </row>
    <row r="660" spans="2:2" x14ac:dyDescent="0.45">
      <c r="B660">
        <v>2</v>
      </c>
    </row>
    <row r="661" spans="2:2" x14ac:dyDescent="0.45">
      <c r="B661">
        <v>0</v>
      </c>
    </row>
    <row r="662" spans="2:2" x14ac:dyDescent="0.45">
      <c r="B662">
        <v>1</v>
      </c>
    </row>
    <row r="663" spans="2:2" x14ac:dyDescent="0.45">
      <c r="B663">
        <v>329</v>
      </c>
    </row>
    <row r="664" spans="2:2" x14ac:dyDescent="0.45">
      <c r="B664">
        <v>694</v>
      </c>
    </row>
    <row r="665" spans="2:2" x14ac:dyDescent="0.45">
      <c r="B665">
        <v>570</v>
      </c>
    </row>
    <row r="666" spans="2:2" x14ac:dyDescent="0.45">
      <c r="B666">
        <v>241</v>
      </c>
    </row>
    <row r="667" spans="2:2" x14ac:dyDescent="0.45">
      <c r="B667">
        <v>109</v>
      </c>
    </row>
    <row r="668" spans="2:2" x14ac:dyDescent="0.45">
      <c r="B668">
        <v>38</v>
      </c>
    </row>
    <row r="669" spans="2:2" x14ac:dyDescent="0.45">
      <c r="B669">
        <v>13</v>
      </c>
    </row>
    <row r="670" spans="2:2" x14ac:dyDescent="0.45">
      <c r="B670">
        <v>4</v>
      </c>
    </row>
    <row r="671" spans="2:2" x14ac:dyDescent="0.45">
      <c r="B671">
        <v>1</v>
      </c>
    </row>
    <row r="672" spans="2:2" x14ac:dyDescent="0.45">
      <c r="B672">
        <v>1</v>
      </c>
    </row>
    <row r="673" spans="2:2" x14ac:dyDescent="0.45">
      <c r="B673">
        <v>6</v>
      </c>
    </row>
    <row r="674" spans="2:2" x14ac:dyDescent="0.45">
      <c r="B674">
        <v>48</v>
      </c>
    </row>
    <row r="675" spans="2:2" x14ac:dyDescent="0.45">
      <c r="B675">
        <v>150</v>
      </c>
    </row>
    <row r="676" spans="2:2" x14ac:dyDescent="0.45">
      <c r="B676">
        <v>403</v>
      </c>
    </row>
    <row r="677" spans="2:2" x14ac:dyDescent="0.45">
      <c r="B677">
        <v>544</v>
      </c>
    </row>
    <row r="678" spans="2:2" x14ac:dyDescent="0.45">
      <c r="B678">
        <v>368</v>
      </c>
    </row>
    <row r="679" spans="2:2" x14ac:dyDescent="0.45">
      <c r="B679">
        <v>311</v>
      </c>
    </row>
    <row r="680" spans="2:2" x14ac:dyDescent="0.45">
      <c r="B680">
        <v>113</v>
      </c>
    </row>
    <row r="681" spans="2:2" x14ac:dyDescent="0.45">
      <c r="B681">
        <v>52</v>
      </c>
    </row>
    <row r="682" spans="2:2" x14ac:dyDescent="0.45">
      <c r="B682">
        <v>5</v>
      </c>
    </row>
    <row r="683" spans="2:2" x14ac:dyDescent="0.45">
      <c r="B683">
        <v>235</v>
      </c>
    </row>
    <row r="684" spans="2:2" x14ac:dyDescent="0.45">
      <c r="B684">
        <v>592</v>
      </c>
    </row>
    <row r="685" spans="2:2" x14ac:dyDescent="0.45">
      <c r="B685">
        <v>515</v>
      </c>
    </row>
    <row r="686" spans="2:2" x14ac:dyDescent="0.45">
      <c r="B686">
        <v>358</v>
      </c>
    </row>
    <row r="687" spans="2:2" x14ac:dyDescent="0.45">
      <c r="B687">
        <v>181</v>
      </c>
    </row>
    <row r="688" spans="2:2" x14ac:dyDescent="0.45">
      <c r="B688">
        <v>70</v>
      </c>
    </row>
    <row r="689" spans="2:2" x14ac:dyDescent="0.45">
      <c r="B689">
        <v>33</v>
      </c>
    </row>
    <row r="690" spans="2:2" x14ac:dyDescent="0.45">
      <c r="B690">
        <v>10</v>
      </c>
    </row>
    <row r="691" spans="2:2" x14ac:dyDescent="0.45">
      <c r="B691">
        <v>4</v>
      </c>
    </row>
    <row r="692" spans="2:2" x14ac:dyDescent="0.45">
      <c r="B692">
        <v>2</v>
      </c>
    </row>
    <row r="693" spans="2:2" x14ac:dyDescent="0.45">
      <c r="B693">
        <v>234</v>
      </c>
    </row>
    <row r="694" spans="2:2" x14ac:dyDescent="0.45">
      <c r="B694">
        <v>619</v>
      </c>
    </row>
    <row r="695" spans="2:2" x14ac:dyDescent="0.45">
      <c r="B695">
        <v>520</v>
      </c>
    </row>
    <row r="696" spans="2:2" x14ac:dyDescent="0.45">
      <c r="B696">
        <v>349</v>
      </c>
    </row>
    <row r="697" spans="2:2" x14ac:dyDescent="0.45">
      <c r="B697">
        <v>165</v>
      </c>
    </row>
    <row r="698" spans="2:2" x14ac:dyDescent="0.45">
      <c r="B698">
        <v>62</v>
      </c>
    </row>
    <row r="699" spans="2:2" x14ac:dyDescent="0.45">
      <c r="B699">
        <v>33</v>
      </c>
    </row>
    <row r="700" spans="2:2" x14ac:dyDescent="0.45">
      <c r="B700">
        <v>13</v>
      </c>
    </row>
    <row r="701" spans="2:2" x14ac:dyDescent="0.45">
      <c r="B701">
        <v>3</v>
      </c>
    </row>
    <row r="702" spans="2:2" x14ac:dyDescent="0.45">
      <c r="B702">
        <v>2</v>
      </c>
    </row>
    <row r="703" spans="2:2" x14ac:dyDescent="0.45">
      <c r="B703">
        <v>15</v>
      </c>
    </row>
    <row r="704" spans="2:2" x14ac:dyDescent="0.45">
      <c r="B704">
        <v>70</v>
      </c>
    </row>
    <row r="705" spans="2:2" x14ac:dyDescent="0.45">
      <c r="B705">
        <v>297</v>
      </c>
    </row>
    <row r="706" spans="2:2" x14ac:dyDescent="0.45">
      <c r="B706">
        <v>492</v>
      </c>
    </row>
    <row r="707" spans="2:2" x14ac:dyDescent="0.45">
      <c r="B707">
        <v>561</v>
      </c>
    </row>
    <row r="708" spans="2:2" x14ac:dyDescent="0.45">
      <c r="B708">
        <v>335</v>
      </c>
    </row>
    <row r="709" spans="2:2" x14ac:dyDescent="0.45">
      <c r="B709">
        <v>153</v>
      </c>
    </row>
    <row r="710" spans="2:2" x14ac:dyDescent="0.45">
      <c r="B710">
        <v>60</v>
      </c>
    </row>
    <row r="711" spans="2:2" x14ac:dyDescent="0.45">
      <c r="B711">
        <v>10</v>
      </c>
    </row>
    <row r="712" spans="2:2" x14ac:dyDescent="0.45">
      <c r="B712">
        <v>7</v>
      </c>
    </row>
    <row r="713" spans="2:2" x14ac:dyDescent="0.45">
      <c r="B713">
        <v>176</v>
      </c>
    </row>
    <row r="714" spans="2:2" x14ac:dyDescent="0.45">
      <c r="B714">
        <v>425</v>
      </c>
    </row>
    <row r="715" spans="2:2" x14ac:dyDescent="0.45">
      <c r="B715">
        <v>460</v>
      </c>
    </row>
    <row r="716" spans="2:2" x14ac:dyDescent="0.45">
      <c r="B716">
        <v>435</v>
      </c>
    </row>
    <row r="717" spans="2:2" x14ac:dyDescent="0.45">
      <c r="B717">
        <v>235</v>
      </c>
    </row>
    <row r="718" spans="2:2" x14ac:dyDescent="0.45">
      <c r="B718">
        <v>141</v>
      </c>
    </row>
    <row r="719" spans="2:2" x14ac:dyDescent="0.45">
      <c r="B719">
        <v>81</v>
      </c>
    </row>
    <row r="720" spans="2:2" x14ac:dyDescent="0.45">
      <c r="B720">
        <v>25</v>
      </c>
    </row>
    <row r="721" spans="2:2" x14ac:dyDescent="0.45">
      <c r="B721">
        <v>13</v>
      </c>
    </row>
    <row r="722" spans="2:2" x14ac:dyDescent="0.45">
      <c r="B722">
        <v>9</v>
      </c>
    </row>
    <row r="723" spans="2:2" x14ac:dyDescent="0.45">
      <c r="B723">
        <v>267</v>
      </c>
    </row>
    <row r="724" spans="2:2" x14ac:dyDescent="0.45">
      <c r="B724">
        <v>571</v>
      </c>
    </row>
    <row r="725" spans="2:2" x14ac:dyDescent="0.45">
      <c r="B725">
        <v>520</v>
      </c>
    </row>
    <row r="726" spans="2:2" x14ac:dyDescent="0.45">
      <c r="B726">
        <v>346</v>
      </c>
    </row>
    <row r="727" spans="2:2" x14ac:dyDescent="0.45">
      <c r="B727">
        <v>169</v>
      </c>
    </row>
    <row r="728" spans="2:2" x14ac:dyDescent="0.45">
      <c r="B728">
        <v>73</v>
      </c>
    </row>
    <row r="729" spans="2:2" x14ac:dyDescent="0.45">
      <c r="B729">
        <v>32</v>
      </c>
    </row>
    <row r="730" spans="2:2" x14ac:dyDescent="0.45">
      <c r="B730">
        <v>13</v>
      </c>
    </row>
    <row r="731" spans="2:2" x14ac:dyDescent="0.45">
      <c r="B731">
        <v>6</v>
      </c>
    </row>
    <row r="732" spans="2:2" x14ac:dyDescent="0.45">
      <c r="B732">
        <v>3</v>
      </c>
    </row>
    <row r="733" spans="2:2" x14ac:dyDescent="0.45">
      <c r="B733">
        <v>15</v>
      </c>
    </row>
    <row r="734" spans="2:2" x14ac:dyDescent="0.45">
      <c r="B734">
        <v>66</v>
      </c>
    </row>
    <row r="735" spans="2:2" x14ac:dyDescent="0.45">
      <c r="B735">
        <v>257</v>
      </c>
    </row>
    <row r="736" spans="2:2" x14ac:dyDescent="0.45">
      <c r="B736">
        <v>379</v>
      </c>
    </row>
    <row r="737" spans="2:2" x14ac:dyDescent="0.45">
      <c r="B737">
        <v>530</v>
      </c>
    </row>
    <row r="738" spans="2:2" x14ac:dyDescent="0.45">
      <c r="B738">
        <v>334</v>
      </c>
    </row>
    <row r="739" spans="2:2" x14ac:dyDescent="0.45">
      <c r="B739">
        <v>228</v>
      </c>
    </row>
    <row r="740" spans="2:2" x14ac:dyDescent="0.45">
      <c r="B740">
        <v>141</v>
      </c>
    </row>
    <row r="741" spans="2:2" x14ac:dyDescent="0.45">
      <c r="B741">
        <v>35</v>
      </c>
    </row>
    <row r="742" spans="2:2" x14ac:dyDescent="0.45">
      <c r="B742">
        <v>15</v>
      </c>
    </row>
    <row r="743" spans="2:2" x14ac:dyDescent="0.45">
      <c r="B743">
        <v>305</v>
      </c>
    </row>
    <row r="744" spans="2:2" x14ac:dyDescent="0.45">
      <c r="B744">
        <v>649</v>
      </c>
    </row>
    <row r="745" spans="2:2" x14ac:dyDescent="0.45">
      <c r="B745">
        <v>553</v>
      </c>
    </row>
    <row r="746" spans="2:2" x14ac:dyDescent="0.45">
      <c r="B746">
        <v>280</v>
      </c>
    </row>
    <row r="747" spans="2:2" x14ac:dyDescent="0.45">
      <c r="B747">
        <v>132</v>
      </c>
    </row>
    <row r="748" spans="2:2" x14ac:dyDescent="0.45">
      <c r="B748">
        <v>53</v>
      </c>
    </row>
    <row r="749" spans="2:2" x14ac:dyDescent="0.45">
      <c r="B749">
        <v>22</v>
      </c>
    </row>
    <row r="750" spans="2:2" x14ac:dyDescent="0.45">
      <c r="B750">
        <v>3</v>
      </c>
    </row>
    <row r="751" spans="2:2" x14ac:dyDescent="0.45">
      <c r="B751">
        <v>2</v>
      </c>
    </row>
    <row r="752" spans="2:2" x14ac:dyDescent="0.45">
      <c r="B752">
        <v>1</v>
      </c>
    </row>
    <row r="753" spans="2:2" x14ac:dyDescent="0.45">
      <c r="B753">
        <v>327</v>
      </c>
    </row>
    <row r="754" spans="2:2" x14ac:dyDescent="0.45">
      <c r="B754">
        <v>595</v>
      </c>
    </row>
    <row r="755" spans="2:2" x14ac:dyDescent="0.45">
      <c r="B755">
        <v>549</v>
      </c>
    </row>
    <row r="756" spans="2:2" x14ac:dyDescent="0.45">
      <c r="B756">
        <v>301</v>
      </c>
    </row>
    <row r="757" spans="2:2" x14ac:dyDescent="0.45">
      <c r="B757">
        <v>128</v>
      </c>
    </row>
    <row r="758" spans="2:2" x14ac:dyDescent="0.45">
      <c r="B758">
        <v>61</v>
      </c>
    </row>
    <row r="759" spans="2:2" x14ac:dyDescent="0.45">
      <c r="B759">
        <v>21</v>
      </c>
    </row>
    <row r="760" spans="2:2" x14ac:dyDescent="0.45">
      <c r="B760">
        <v>12</v>
      </c>
    </row>
    <row r="761" spans="2:2" x14ac:dyDescent="0.45">
      <c r="B761">
        <v>5</v>
      </c>
    </row>
    <row r="762" spans="2:2" x14ac:dyDescent="0.45">
      <c r="B762">
        <v>1</v>
      </c>
    </row>
    <row r="763" spans="2:2" x14ac:dyDescent="0.45">
      <c r="B763">
        <v>18</v>
      </c>
    </row>
    <row r="764" spans="2:2" x14ac:dyDescent="0.45">
      <c r="B764">
        <v>88</v>
      </c>
    </row>
    <row r="765" spans="2:2" x14ac:dyDescent="0.45">
      <c r="B765">
        <v>307</v>
      </c>
    </row>
    <row r="766" spans="2:2" x14ac:dyDescent="0.45">
      <c r="B766">
        <v>390</v>
      </c>
    </row>
    <row r="767" spans="2:2" x14ac:dyDescent="0.45">
      <c r="B767">
        <v>564</v>
      </c>
    </row>
    <row r="768" spans="2:2" x14ac:dyDescent="0.45">
      <c r="B768">
        <v>319</v>
      </c>
    </row>
    <row r="769" spans="2:2" x14ac:dyDescent="0.45">
      <c r="B769">
        <v>168</v>
      </c>
    </row>
    <row r="770" spans="2:2" x14ac:dyDescent="0.45">
      <c r="B770">
        <v>113</v>
      </c>
    </row>
    <row r="771" spans="2:2" x14ac:dyDescent="0.45">
      <c r="B771">
        <v>23</v>
      </c>
    </row>
    <row r="772" spans="2:2" x14ac:dyDescent="0.45">
      <c r="B772">
        <v>10</v>
      </c>
    </row>
    <row r="773" spans="2:2" x14ac:dyDescent="0.45">
      <c r="B773">
        <v>414</v>
      </c>
    </row>
    <row r="774" spans="2:2" x14ac:dyDescent="0.45">
      <c r="B774">
        <v>753</v>
      </c>
    </row>
    <row r="775" spans="2:2" x14ac:dyDescent="0.45">
      <c r="B775">
        <v>494</v>
      </c>
    </row>
    <row r="776" spans="2:2" x14ac:dyDescent="0.45">
      <c r="B776">
        <v>223</v>
      </c>
    </row>
    <row r="777" spans="2:2" x14ac:dyDescent="0.45">
      <c r="B777">
        <v>84</v>
      </c>
    </row>
    <row r="778" spans="2:2" x14ac:dyDescent="0.45">
      <c r="B778">
        <v>19</v>
      </c>
    </row>
    <row r="779" spans="2:2" x14ac:dyDescent="0.45">
      <c r="B779">
        <v>9</v>
      </c>
    </row>
    <row r="780" spans="2:2" x14ac:dyDescent="0.45">
      <c r="B780">
        <v>1</v>
      </c>
    </row>
    <row r="781" spans="2:2" x14ac:dyDescent="0.45">
      <c r="B781">
        <v>2</v>
      </c>
    </row>
    <row r="782" spans="2:2" x14ac:dyDescent="0.45">
      <c r="B782">
        <v>1</v>
      </c>
    </row>
    <row r="783" spans="2:2" x14ac:dyDescent="0.45">
      <c r="B783">
        <v>238</v>
      </c>
    </row>
    <row r="784" spans="2:2" x14ac:dyDescent="0.45">
      <c r="B784">
        <v>606</v>
      </c>
    </row>
    <row r="785" spans="2:2" x14ac:dyDescent="0.45">
      <c r="B785">
        <v>544</v>
      </c>
    </row>
    <row r="786" spans="2:2" x14ac:dyDescent="0.45">
      <c r="B786">
        <v>344</v>
      </c>
    </row>
    <row r="787" spans="2:2" x14ac:dyDescent="0.45">
      <c r="B787">
        <v>150</v>
      </c>
    </row>
    <row r="788" spans="2:2" x14ac:dyDescent="0.45">
      <c r="B788">
        <v>68</v>
      </c>
    </row>
    <row r="789" spans="2:2" x14ac:dyDescent="0.45">
      <c r="B789">
        <v>28</v>
      </c>
    </row>
    <row r="790" spans="2:2" x14ac:dyDescent="0.45">
      <c r="B790">
        <v>16</v>
      </c>
    </row>
    <row r="791" spans="2:2" x14ac:dyDescent="0.45">
      <c r="B791">
        <v>5</v>
      </c>
    </row>
    <row r="792" spans="2:2" x14ac:dyDescent="0.45">
      <c r="B792">
        <v>1</v>
      </c>
    </row>
    <row r="793" spans="2:2" x14ac:dyDescent="0.45">
      <c r="B793">
        <v>3</v>
      </c>
    </row>
    <row r="794" spans="2:2" x14ac:dyDescent="0.45">
      <c r="B794">
        <v>11</v>
      </c>
    </row>
    <row r="795" spans="2:2" x14ac:dyDescent="0.45">
      <c r="B795">
        <v>89</v>
      </c>
    </row>
    <row r="796" spans="2:2" x14ac:dyDescent="0.45">
      <c r="B796">
        <v>370</v>
      </c>
    </row>
    <row r="797" spans="2:2" x14ac:dyDescent="0.45">
      <c r="B797">
        <v>553</v>
      </c>
    </row>
    <row r="798" spans="2:2" x14ac:dyDescent="0.45">
      <c r="B798">
        <v>519</v>
      </c>
    </row>
    <row r="799" spans="2:2" x14ac:dyDescent="0.45">
      <c r="B799">
        <v>335</v>
      </c>
    </row>
    <row r="800" spans="2:2" x14ac:dyDescent="0.45">
      <c r="B800">
        <v>88</v>
      </c>
    </row>
    <row r="801" spans="2:2" x14ac:dyDescent="0.45">
      <c r="B801">
        <v>27</v>
      </c>
    </row>
    <row r="802" spans="2:2" x14ac:dyDescent="0.45">
      <c r="B802">
        <v>5</v>
      </c>
    </row>
    <row r="803" spans="2:2" x14ac:dyDescent="0.45">
      <c r="B803">
        <v>324</v>
      </c>
    </row>
    <row r="804" spans="2:2" x14ac:dyDescent="0.45">
      <c r="B804">
        <v>685</v>
      </c>
    </row>
    <row r="805" spans="2:2" x14ac:dyDescent="0.45">
      <c r="B805">
        <v>555</v>
      </c>
    </row>
    <row r="806" spans="2:2" x14ac:dyDescent="0.45">
      <c r="B806">
        <v>277</v>
      </c>
    </row>
    <row r="807" spans="2:2" x14ac:dyDescent="0.45">
      <c r="B807">
        <v>109</v>
      </c>
    </row>
    <row r="808" spans="2:2" x14ac:dyDescent="0.45">
      <c r="B808">
        <v>36</v>
      </c>
    </row>
    <row r="809" spans="2:2" x14ac:dyDescent="0.45">
      <c r="B809">
        <v>7</v>
      </c>
    </row>
    <row r="810" spans="2:2" x14ac:dyDescent="0.45">
      <c r="B810">
        <v>3</v>
      </c>
    </row>
    <row r="811" spans="2:2" x14ac:dyDescent="0.45">
      <c r="B811">
        <v>3</v>
      </c>
    </row>
    <row r="812" spans="2:2" x14ac:dyDescent="0.45">
      <c r="B812">
        <v>1</v>
      </c>
    </row>
    <row r="813" spans="2:2" x14ac:dyDescent="0.45">
      <c r="B813">
        <v>300</v>
      </c>
    </row>
    <row r="814" spans="2:2" x14ac:dyDescent="0.45">
      <c r="B814">
        <v>622</v>
      </c>
    </row>
    <row r="815" spans="2:2" x14ac:dyDescent="0.45">
      <c r="B815">
        <v>542</v>
      </c>
    </row>
    <row r="816" spans="2:2" x14ac:dyDescent="0.45">
      <c r="B816">
        <v>292</v>
      </c>
    </row>
    <row r="817" spans="2:2" x14ac:dyDescent="0.45">
      <c r="B817">
        <v>142</v>
      </c>
    </row>
    <row r="818" spans="2:2" x14ac:dyDescent="0.45">
      <c r="B818">
        <v>60</v>
      </c>
    </row>
    <row r="819" spans="2:2" x14ac:dyDescent="0.45">
      <c r="B819">
        <v>30</v>
      </c>
    </row>
    <row r="820" spans="2:2" x14ac:dyDescent="0.45">
      <c r="B820">
        <v>6</v>
      </c>
    </row>
    <row r="821" spans="2:2" x14ac:dyDescent="0.45">
      <c r="B821">
        <v>3</v>
      </c>
    </row>
    <row r="822" spans="2:2" x14ac:dyDescent="0.45">
      <c r="B822">
        <v>3</v>
      </c>
    </row>
    <row r="823" spans="2:2" x14ac:dyDescent="0.45">
      <c r="B823">
        <v>11</v>
      </c>
    </row>
    <row r="824" spans="2:2" x14ac:dyDescent="0.45">
      <c r="B824">
        <v>68</v>
      </c>
    </row>
    <row r="825" spans="2:2" x14ac:dyDescent="0.45">
      <c r="B825">
        <v>205</v>
      </c>
    </row>
    <row r="826" spans="2:2" x14ac:dyDescent="0.45">
      <c r="B826">
        <v>605</v>
      </c>
    </row>
    <row r="827" spans="2:2" x14ac:dyDescent="0.45">
      <c r="B827">
        <v>508</v>
      </c>
    </row>
    <row r="828" spans="2:2" x14ac:dyDescent="0.45">
      <c r="B828">
        <v>372</v>
      </c>
    </row>
    <row r="829" spans="2:2" x14ac:dyDescent="0.45">
      <c r="B829">
        <v>194</v>
      </c>
    </row>
    <row r="830" spans="2:2" x14ac:dyDescent="0.45">
      <c r="B830">
        <v>33</v>
      </c>
    </row>
    <row r="831" spans="2:2" x14ac:dyDescent="0.45">
      <c r="B831">
        <v>3</v>
      </c>
    </row>
    <row r="832" spans="2:2" x14ac:dyDescent="0.45">
      <c r="B832">
        <v>1</v>
      </c>
    </row>
    <row r="833" spans="2:2" x14ac:dyDescent="0.45">
      <c r="B833">
        <v>198</v>
      </c>
    </row>
    <row r="834" spans="2:2" x14ac:dyDescent="0.45">
      <c r="B834">
        <v>529</v>
      </c>
    </row>
    <row r="835" spans="2:2" x14ac:dyDescent="0.45">
      <c r="B835">
        <v>488</v>
      </c>
    </row>
    <row r="836" spans="2:2" x14ac:dyDescent="0.45">
      <c r="B836">
        <v>346</v>
      </c>
    </row>
    <row r="837" spans="2:2" x14ac:dyDescent="0.45">
      <c r="B837">
        <v>225</v>
      </c>
    </row>
    <row r="838" spans="2:2" x14ac:dyDescent="0.45">
      <c r="B838">
        <v>117</v>
      </c>
    </row>
    <row r="839" spans="2:2" x14ac:dyDescent="0.45">
      <c r="B839">
        <v>48</v>
      </c>
    </row>
    <row r="840" spans="2:2" x14ac:dyDescent="0.45">
      <c r="B840">
        <v>30</v>
      </c>
    </row>
    <row r="841" spans="2:2" x14ac:dyDescent="0.45">
      <c r="B841">
        <v>14</v>
      </c>
    </row>
    <row r="842" spans="2:2" x14ac:dyDescent="0.45">
      <c r="B842">
        <v>5</v>
      </c>
    </row>
    <row r="843" spans="2:2" x14ac:dyDescent="0.45">
      <c r="B843">
        <v>230</v>
      </c>
    </row>
    <row r="844" spans="2:2" x14ac:dyDescent="0.45">
      <c r="B844">
        <v>545</v>
      </c>
    </row>
    <row r="845" spans="2:2" x14ac:dyDescent="0.45">
      <c r="B845">
        <v>525</v>
      </c>
    </row>
    <row r="846" spans="2:2" x14ac:dyDescent="0.45">
      <c r="B846">
        <v>380</v>
      </c>
    </row>
    <row r="847" spans="2:2" x14ac:dyDescent="0.45">
      <c r="B847">
        <v>175</v>
      </c>
    </row>
    <row r="848" spans="2:2" x14ac:dyDescent="0.45">
      <c r="B848">
        <v>77</v>
      </c>
    </row>
    <row r="849" spans="2:2" x14ac:dyDescent="0.45">
      <c r="B849">
        <v>39</v>
      </c>
    </row>
    <row r="850" spans="2:2" x14ac:dyDescent="0.45">
      <c r="B850">
        <v>18</v>
      </c>
    </row>
    <row r="851" spans="2:2" x14ac:dyDescent="0.45">
      <c r="B851">
        <v>7</v>
      </c>
    </row>
    <row r="852" spans="2:2" x14ac:dyDescent="0.45">
      <c r="B852">
        <v>4</v>
      </c>
    </row>
    <row r="853" spans="2:2" x14ac:dyDescent="0.45">
      <c r="B853">
        <v>6</v>
      </c>
    </row>
    <row r="854" spans="2:2" x14ac:dyDescent="0.45">
      <c r="B854">
        <v>48</v>
      </c>
    </row>
    <row r="855" spans="2:2" x14ac:dyDescent="0.45">
      <c r="B855">
        <v>203</v>
      </c>
    </row>
    <row r="856" spans="2:2" x14ac:dyDescent="0.45">
      <c r="B856">
        <v>310</v>
      </c>
    </row>
    <row r="857" spans="2:2" x14ac:dyDescent="0.45">
      <c r="B857">
        <v>535</v>
      </c>
    </row>
    <row r="858" spans="2:2" x14ac:dyDescent="0.45">
      <c r="B858">
        <v>482</v>
      </c>
    </row>
    <row r="859" spans="2:2" x14ac:dyDescent="0.45">
      <c r="B859">
        <v>224</v>
      </c>
    </row>
    <row r="860" spans="2:2" x14ac:dyDescent="0.45">
      <c r="B860">
        <v>150</v>
      </c>
    </row>
    <row r="861" spans="2:2" x14ac:dyDescent="0.45">
      <c r="B861">
        <v>33</v>
      </c>
    </row>
    <row r="862" spans="2:2" x14ac:dyDescent="0.45">
      <c r="B862">
        <v>9</v>
      </c>
    </row>
    <row r="863" spans="2:2" x14ac:dyDescent="0.45">
      <c r="B863">
        <v>378</v>
      </c>
    </row>
    <row r="864" spans="2:2" x14ac:dyDescent="0.45">
      <c r="B864">
        <v>713</v>
      </c>
    </row>
    <row r="865" spans="2:2" x14ac:dyDescent="0.45">
      <c r="B865">
        <v>474</v>
      </c>
    </row>
    <row r="866" spans="2:2" x14ac:dyDescent="0.45">
      <c r="B866">
        <v>280</v>
      </c>
    </row>
    <row r="867" spans="2:2" x14ac:dyDescent="0.45">
      <c r="B867">
        <v>94</v>
      </c>
    </row>
    <row r="868" spans="2:2" x14ac:dyDescent="0.45">
      <c r="B868">
        <v>38</v>
      </c>
    </row>
    <row r="869" spans="2:2" x14ac:dyDescent="0.45">
      <c r="B869">
        <v>16</v>
      </c>
    </row>
    <row r="870" spans="2:2" x14ac:dyDescent="0.45">
      <c r="B870">
        <v>4</v>
      </c>
    </row>
    <row r="871" spans="2:2" x14ac:dyDescent="0.45">
      <c r="B871">
        <v>1</v>
      </c>
    </row>
    <row r="872" spans="2:2" x14ac:dyDescent="0.45">
      <c r="B872">
        <v>2</v>
      </c>
    </row>
    <row r="873" spans="2:2" x14ac:dyDescent="0.45">
      <c r="B873">
        <v>254</v>
      </c>
    </row>
    <row r="874" spans="2:2" x14ac:dyDescent="0.45">
      <c r="B874">
        <v>547</v>
      </c>
    </row>
    <row r="875" spans="2:2" x14ac:dyDescent="0.45">
      <c r="B875">
        <v>545</v>
      </c>
    </row>
    <row r="876" spans="2:2" x14ac:dyDescent="0.45">
      <c r="B876">
        <v>339</v>
      </c>
    </row>
    <row r="877" spans="2:2" x14ac:dyDescent="0.45">
      <c r="B877">
        <v>175</v>
      </c>
    </row>
    <row r="878" spans="2:2" x14ac:dyDescent="0.45">
      <c r="B878">
        <v>74</v>
      </c>
    </row>
    <row r="879" spans="2:2" x14ac:dyDescent="0.45">
      <c r="B879">
        <v>45</v>
      </c>
    </row>
    <row r="880" spans="2:2" x14ac:dyDescent="0.45">
      <c r="B880">
        <v>14</v>
      </c>
    </row>
    <row r="881" spans="2:2" x14ac:dyDescent="0.45">
      <c r="B881">
        <v>4</v>
      </c>
    </row>
    <row r="882" spans="2:2" x14ac:dyDescent="0.45">
      <c r="B882">
        <v>3</v>
      </c>
    </row>
    <row r="883" spans="2:2" x14ac:dyDescent="0.45">
      <c r="B883">
        <v>25</v>
      </c>
    </row>
    <row r="884" spans="2:2" x14ac:dyDescent="0.45">
      <c r="B884">
        <v>98</v>
      </c>
    </row>
    <row r="885" spans="2:2" x14ac:dyDescent="0.45">
      <c r="B885">
        <v>332</v>
      </c>
    </row>
    <row r="886" spans="2:2" x14ac:dyDescent="0.45">
      <c r="B886">
        <v>659</v>
      </c>
    </row>
    <row r="887" spans="2:2" x14ac:dyDescent="0.45">
      <c r="B887">
        <v>484</v>
      </c>
    </row>
    <row r="888" spans="2:2" x14ac:dyDescent="0.45">
      <c r="B888">
        <v>276</v>
      </c>
    </row>
    <row r="889" spans="2:2" x14ac:dyDescent="0.45">
      <c r="B889">
        <v>100</v>
      </c>
    </row>
    <row r="890" spans="2:2" x14ac:dyDescent="0.45">
      <c r="B890">
        <v>21</v>
      </c>
    </row>
    <row r="891" spans="2:2" x14ac:dyDescent="0.45">
      <c r="B891">
        <v>3</v>
      </c>
    </row>
    <row r="892" spans="2:2" x14ac:dyDescent="0.45">
      <c r="B892">
        <v>2</v>
      </c>
    </row>
    <row r="893" spans="2:2" x14ac:dyDescent="0.45">
      <c r="B893">
        <v>390</v>
      </c>
    </row>
    <row r="894" spans="2:2" x14ac:dyDescent="0.45">
      <c r="B894">
        <v>674</v>
      </c>
    </row>
    <row r="895" spans="2:2" x14ac:dyDescent="0.45">
      <c r="B895">
        <v>509</v>
      </c>
    </row>
    <row r="896" spans="2:2" x14ac:dyDescent="0.45">
      <c r="B896">
        <v>238</v>
      </c>
    </row>
    <row r="897" spans="2:2" x14ac:dyDescent="0.45">
      <c r="B897">
        <v>112</v>
      </c>
    </row>
    <row r="898" spans="2:2" x14ac:dyDescent="0.45">
      <c r="B898">
        <v>52</v>
      </c>
    </row>
    <row r="899" spans="2:2" x14ac:dyDescent="0.45">
      <c r="B899">
        <v>14</v>
      </c>
    </row>
    <row r="900" spans="2:2" x14ac:dyDescent="0.45">
      <c r="B900">
        <v>7</v>
      </c>
    </row>
    <row r="901" spans="2:2" x14ac:dyDescent="0.45">
      <c r="B901">
        <v>2</v>
      </c>
    </row>
    <row r="902" spans="2:2" x14ac:dyDescent="0.45">
      <c r="B902">
        <v>2</v>
      </c>
    </row>
    <row r="903" spans="2:2" x14ac:dyDescent="0.45">
      <c r="B903">
        <v>276</v>
      </c>
    </row>
    <row r="904" spans="2:2" x14ac:dyDescent="0.45">
      <c r="B904">
        <v>686</v>
      </c>
    </row>
    <row r="905" spans="2:2" x14ac:dyDescent="0.45">
      <c r="B905">
        <v>516</v>
      </c>
    </row>
    <row r="906" spans="2:2" x14ac:dyDescent="0.45">
      <c r="B906">
        <v>285</v>
      </c>
    </row>
    <row r="907" spans="2:2" x14ac:dyDescent="0.45">
      <c r="B907">
        <v>138</v>
      </c>
    </row>
    <row r="908" spans="2:2" x14ac:dyDescent="0.45">
      <c r="B908">
        <v>62</v>
      </c>
    </row>
    <row r="909" spans="2:2" x14ac:dyDescent="0.45">
      <c r="B909">
        <v>24</v>
      </c>
    </row>
    <row r="910" spans="2:2" x14ac:dyDescent="0.45">
      <c r="B910">
        <v>8</v>
      </c>
    </row>
    <row r="911" spans="2:2" x14ac:dyDescent="0.45">
      <c r="B911">
        <v>3</v>
      </c>
    </row>
    <row r="912" spans="2:2" x14ac:dyDescent="0.45">
      <c r="B912">
        <v>2</v>
      </c>
    </row>
    <row r="913" spans="2:2" x14ac:dyDescent="0.45">
      <c r="B913">
        <v>1</v>
      </c>
    </row>
    <row r="914" spans="2:2" x14ac:dyDescent="0.45">
      <c r="B914">
        <v>21</v>
      </c>
    </row>
    <row r="915" spans="2:2" x14ac:dyDescent="0.45">
      <c r="B915">
        <v>94</v>
      </c>
    </row>
    <row r="916" spans="2:2" x14ac:dyDescent="0.45">
      <c r="B916">
        <v>329</v>
      </c>
    </row>
    <row r="917" spans="2:2" x14ac:dyDescent="0.45">
      <c r="B917">
        <v>490</v>
      </c>
    </row>
    <row r="918" spans="2:2" x14ac:dyDescent="0.45">
      <c r="B918">
        <v>531</v>
      </c>
    </row>
    <row r="919" spans="2:2" x14ac:dyDescent="0.45">
      <c r="B919">
        <v>321</v>
      </c>
    </row>
    <row r="920" spans="2:2" x14ac:dyDescent="0.45">
      <c r="B920">
        <v>162</v>
      </c>
    </row>
    <row r="921" spans="2:2" x14ac:dyDescent="0.45">
      <c r="B921">
        <v>42</v>
      </c>
    </row>
    <row r="922" spans="2:2" x14ac:dyDescent="0.45">
      <c r="B922">
        <v>9</v>
      </c>
    </row>
    <row r="923" spans="2:2" x14ac:dyDescent="0.45">
      <c r="B923">
        <v>220</v>
      </c>
    </row>
    <row r="924" spans="2:2" x14ac:dyDescent="0.45">
      <c r="B924">
        <v>566</v>
      </c>
    </row>
    <row r="925" spans="2:2" x14ac:dyDescent="0.45">
      <c r="B925">
        <v>499</v>
      </c>
    </row>
    <row r="926" spans="2:2" x14ac:dyDescent="0.45">
      <c r="B926">
        <v>351</v>
      </c>
    </row>
    <row r="927" spans="2:2" x14ac:dyDescent="0.45">
      <c r="B927">
        <v>186</v>
      </c>
    </row>
    <row r="928" spans="2:2" x14ac:dyDescent="0.45">
      <c r="B928">
        <v>86</v>
      </c>
    </row>
    <row r="929" spans="2:2" x14ac:dyDescent="0.45">
      <c r="B929">
        <v>57</v>
      </c>
    </row>
    <row r="930" spans="2:2" x14ac:dyDescent="0.45">
      <c r="B930">
        <v>24</v>
      </c>
    </row>
    <row r="931" spans="2:2" x14ac:dyDescent="0.45">
      <c r="B931">
        <v>7</v>
      </c>
    </row>
    <row r="932" spans="2:2" x14ac:dyDescent="0.45">
      <c r="B932">
        <v>4</v>
      </c>
    </row>
    <row r="933" spans="2:2" x14ac:dyDescent="0.45">
      <c r="B933">
        <v>293</v>
      </c>
    </row>
    <row r="934" spans="2:2" x14ac:dyDescent="0.45">
      <c r="B934">
        <v>711</v>
      </c>
    </row>
    <row r="935" spans="2:2" x14ac:dyDescent="0.45">
      <c r="B935">
        <v>516</v>
      </c>
    </row>
    <row r="936" spans="2:2" x14ac:dyDescent="0.45">
      <c r="B936">
        <v>298</v>
      </c>
    </row>
    <row r="937" spans="2:2" x14ac:dyDescent="0.45">
      <c r="B937">
        <v>129</v>
      </c>
    </row>
    <row r="938" spans="2:2" x14ac:dyDescent="0.45">
      <c r="B938">
        <v>30</v>
      </c>
    </row>
    <row r="939" spans="2:2" x14ac:dyDescent="0.45">
      <c r="B939">
        <v>16</v>
      </c>
    </row>
    <row r="940" spans="2:2" x14ac:dyDescent="0.45">
      <c r="B940">
        <v>5</v>
      </c>
    </row>
    <row r="941" spans="2:2" x14ac:dyDescent="0.45">
      <c r="B941">
        <v>1</v>
      </c>
    </row>
    <row r="942" spans="2:2" x14ac:dyDescent="0.45">
      <c r="B942">
        <v>1</v>
      </c>
    </row>
    <row r="943" spans="2:2" x14ac:dyDescent="0.45">
      <c r="B943">
        <v>9</v>
      </c>
    </row>
    <row r="944" spans="2:2" x14ac:dyDescent="0.45">
      <c r="B944">
        <v>109</v>
      </c>
    </row>
    <row r="945" spans="2:2" x14ac:dyDescent="0.45">
      <c r="B945">
        <v>302</v>
      </c>
    </row>
    <row r="946" spans="2:2" x14ac:dyDescent="0.45">
      <c r="B946">
        <v>619</v>
      </c>
    </row>
    <row r="947" spans="2:2" x14ac:dyDescent="0.45">
      <c r="B947">
        <v>481</v>
      </c>
    </row>
    <row r="948" spans="2:2" x14ac:dyDescent="0.45">
      <c r="B948">
        <v>350</v>
      </c>
    </row>
    <row r="949" spans="2:2" x14ac:dyDescent="0.45">
      <c r="B949">
        <v>97</v>
      </c>
    </row>
    <row r="950" spans="2:2" x14ac:dyDescent="0.45">
      <c r="B950">
        <v>29</v>
      </c>
    </row>
    <row r="951" spans="2:2" x14ac:dyDescent="0.45">
      <c r="B951">
        <v>1</v>
      </c>
    </row>
    <row r="952" spans="2:2" x14ac:dyDescent="0.45">
      <c r="B952">
        <v>3</v>
      </c>
    </row>
    <row r="953" spans="2:2" x14ac:dyDescent="0.45">
      <c r="B953">
        <v>220</v>
      </c>
    </row>
    <row r="954" spans="2:2" x14ac:dyDescent="0.45">
      <c r="B954">
        <v>542</v>
      </c>
    </row>
    <row r="955" spans="2:2" x14ac:dyDescent="0.45">
      <c r="B955">
        <v>515</v>
      </c>
    </row>
    <row r="956" spans="2:2" x14ac:dyDescent="0.45">
      <c r="B956">
        <v>362</v>
      </c>
    </row>
    <row r="957" spans="2:2" x14ac:dyDescent="0.45">
      <c r="B957">
        <v>184</v>
      </c>
    </row>
    <row r="958" spans="2:2" x14ac:dyDescent="0.45">
      <c r="B958">
        <v>95</v>
      </c>
    </row>
    <row r="959" spans="2:2" x14ac:dyDescent="0.45">
      <c r="B959">
        <v>52</v>
      </c>
    </row>
    <row r="960" spans="2:2" x14ac:dyDescent="0.45">
      <c r="B960">
        <v>18</v>
      </c>
    </row>
    <row r="961" spans="2:2" x14ac:dyDescent="0.45">
      <c r="B961">
        <v>6</v>
      </c>
    </row>
    <row r="962" spans="2:2" x14ac:dyDescent="0.45">
      <c r="B962">
        <v>6</v>
      </c>
    </row>
    <row r="963" spans="2:2" x14ac:dyDescent="0.45">
      <c r="B963">
        <v>328</v>
      </c>
    </row>
    <row r="964" spans="2:2" x14ac:dyDescent="0.45">
      <c r="B964">
        <v>637</v>
      </c>
    </row>
    <row r="965" spans="2:2" x14ac:dyDescent="0.45">
      <c r="B965">
        <v>537</v>
      </c>
    </row>
    <row r="966" spans="2:2" x14ac:dyDescent="0.45">
      <c r="B966">
        <v>299</v>
      </c>
    </row>
    <row r="967" spans="2:2" x14ac:dyDescent="0.45">
      <c r="B967">
        <v>117</v>
      </c>
    </row>
    <row r="968" spans="2:2" x14ac:dyDescent="0.45">
      <c r="B968">
        <v>53</v>
      </c>
    </row>
    <row r="969" spans="2:2" x14ac:dyDescent="0.45">
      <c r="B969">
        <v>17</v>
      </c>
    </row>
    <row r="970" spans="2:2" x14ac:dyDescent="0.45">
      <c r="B970">
        <v>10</v>
      </c>
    </row>
    <row r="971" spans="2:2" x14ac:dyDescent="0.45">
      <c r="B971">
        <v>1</v>
      </c>
    </row>
    <row r="972" spans="2:2" x14ac:dyDescent="0.45">
      <c r="B972">
        <v>1</v>
      </c>
    </row>
    <row r="973" spans="2:2" x14ac:dyDescent="0.45">
      <c r="B973">
        <v>16</v>
      </c>
    </row>
    <row r="974" spans="2:2" x14ac:dyDescent="0.45">
      <c r="B974">
        <v>65</v>
      </c>
    </row>
    <row r="975" spans="2:2" x14ac:dyDescent="0.45">
      <c r="B975">
        <v>261</v>
      </c>
    </row>
    <row r="976" spans="2:2" x14ac:dyDescent="0.45">
      <c r="B976">
        <v>467</v>
      </c>
    </row>
    <row r="977" spans="2:2" x14ac:dyDescent="0.45">
      <c r="B977">
        <v>502</v>
      </c>
    </row>
    <row r="978" spans="2:2" x14ac:dyDescent="0.45">
      <c r="B978">
        <v>396</v>
      </c>
    </row>
    <row r="979" spans="2:2" x14ac:dyDescent="0.45">
      <c r="B979">
        <v>198</v>
      </c>
    </row>
    <row r="980" spans="2:2" x14ac:dyDescent="0.45">
      <c r="B980">
        <v>69</v>
      </c>
    </row>
    <row r="981" spans="2:2" x14ac:dyDescent="0.45">
      <c r="B981">
        <v>21</v>
      </c>
    </row>
    <row r="982" spans="2:2" x14ac:dyDescent="0.45">
      <c r="B982">
        <v>5</v>
      </c>
    </row>
    <row r="983" spans="2:2" x14ac:dyDescent="0.45">
      <c r="B983">
        <v>279</v>
      </c>
    </row>
    <row r="984" spans="2:2" x14ac:dyDescent="0.45">
      <c r="B984">
        <v>600</v>
      </c>
    </row>
    <row r="985" spans="2:2" x14ac:dyDescent="0.45">
      <c r="B985">
        <v>538</v>
      </c>
    </row>
    <row r="986" spans="2:2" x14ac:dyDescent="0.45">
      <c r="B986">
        <v>342</v>
      </c>
    </row>
    <row r="987" spans="2:2" x14ac:dyDescent="0.45">
      <c r="B987">
        <v>140</v>
      </c>
    </row>
    <row r="988" spans="2:2" x14ac:dyDescent="0.45">
      <c r="B988">
        <v>67</v>
      </c>
    </row>
    <row r="989" spans="2:2" x14ac:dyDescent="0.45">
      <c r="B989">
        <v>22</v>
      </c>
    </row>
    <row r="990" spans="2:2" x14ac:dyDescent="0.45">
      <c r="B990">
        <v>7</v>
      </c>
    </row>
    <row r="991" spans="2:2" x14ac:dyDescent="0.45">
      <c r="B991">
        <v>2</v>
      </c>
    </row>
    <row r="992" spans="2:2" x14ac:dyDescent="0.45">
      <c r="B992">
        <v>3</v>
      </c>
    </row>
    <row r="993" spans="2:2" x14ac:dyDescent="0.45">
      <c r="B993">
        <v>238</v>
      </c>
    </row>
    <row r="994" spans="2:2" x14ac:dyDescent="0.45">
      <c r="B994">
        <v>644</v>
      </c>
    </row>
    <row r="995" spans="2:2" x14ac:dyDescent="0.45">
      <c r="B995">
        <v>509</v>
      </c>
    </row>
    <row r="996" spans="2:2" x14ac:dyDescent="0.45">
      <c r="B996">
        <v>341</v>
      </c>
    </row>
    <row r="997" spans="2:2" x14ac:dyDescent="0.45">
      <c r="B997">
        <v>163</v>
      </c>
    </row>
    <row r="998" spans="2:2" x14ac:dyDescent="0.45">
      <c r="B998">
        <v>66</v>
      </c>
    </row>
    <row r="999" spans="2:2" x14ac:dyDescent="0.45">
      <c r="B999">
        <v>23</v>
      </c>
    </row>
    <row r="1000" spans="2:2" x14ac:dyDescent="0.45">
      <c r="B1000">
        <v>12</v>
      </c>
    </row>
    <row r="1001" spans="2:2" x14ac:dyDescent="0.45">
      <c r="B1001">
        <v>3</v>
      </c>
    </row>
    <row r="1002" spans="2:2" x14ac:dyDescent="0.45">
      <c r="B1002">
        <v>1</v>
      </c>
    </row>
    <row r="1003" spans="2:2" x14ac:dyDescent="0.45">
      <c r="B1003">
        <v>12</v>
      </c>
    </row>
    <row r="1004" spans="2:2" x14ac:dyDescent="0.45">
      <c r="B1004">
        <v>60</v>
      </c>
    </row>
    <row r="1005" spans="2:2" x14ac:dyDescent="0.45">
      <c r="B1005">
        <v>203</v>
      </c>
    </row>
    <row r="1006" spans="2:2" x14ac:dyDescent="0.45">
      <c r="B1006">
        <v>461</v>
      </c>
    </row>
    <row r="1007" spans="2:2" x14ac:dyDescent="0.45">
      <c r="B1007">
        <v>539</v>
      </c>
    </row>
    <row r="1008" spans="2:2" x14ac:dyDescent="0.45">
      <c r="B1008">
        <v>309</v>
      </c>
    </row>
    <row r="1009" spans="2:2" x14ac:dyDescent="0.45">
      <c r="B1009">
        <v>257</v>
      </c>
    </row>
    <row r="1010" spans="2:2" x14ac:dyDescent="0.45">
      <c r="B1010">
        <v>114</v>
      </c>
    </row>
    <row r="1011" spans="2:2" x14ac:dyDescent="0.45">
      <c r="B1011">
        <v>39</v>
      </c>
    </row>
    <row r="1012" spans="2:2" x14ac:dyDescent="0.45">
      <c r="B1012">
        <v>6</v>
      </c>
    </row>
    <row r="1013" spans="2:2" x14ac:dyDescent="0.45">
      <c r="B1013">
        <v>204</v>
      </c>
    </row>
    <row r="1014" spans="2:2" x14ac:dyDescent="0.45">
      <c r="B1014">
        <v>511</v>
      </c>
    </row>
    <row r="1015" spans="2:2" x14ac:dyDescent="0.45">
      <c r="B1015">
        <v>493</v>
      </c>
    </row>
    <row r="1016" spans="2:2" x14ac:dyDescent="0.45">
      <c r="B1016">
        <v>369</v>
      </c>
    </row>
    <row r="1017" spans="2:2" x14ac:dyDescent="0.45">
      <c r="B1017">
        <v>226</v>
      </c>
    </row>
    <row r="1018" spans="2:2" x14ac:dyDescent="0.45">
      <c r="B1018">
        <v>114</v>
      </c>
    </row>
    <row r="1019" spans="2:2" x14ac:dyDescent="0.45">
      <c r="B1019">
        <v>45</v>
      </c>
    </row>
    <row r="1020" spans="2:2" x14ac:dyDescent="0.45">
      <c r="B1020">
        <v>26</v>
      </c>
    </row>
    <row r="1021" spans="2:2" x14ac:dyDescent="0.45">
      <c r="B1021">
        <v>8</v>
      </c>
    </row>
    <row r="1022" spans="2:2" x14ac:dyDescent="0.45">
      <c r="B1022">
        <v>4</v>
      </c>
    </row>
    <row r="1023" spans="2:2" x14ac:dyDescent="0.45">
      <c r="B1023">
        <v>311</v>
      </c>
    </row>
    <row r="1024" spans="2:2" x14ac:dyDescent="0.45">
      <c r="B1024">
        <v>649</v>
      </c>
    </row>
    <row r="1025" spans="2:2" x14ac:dyDescent="0.45">
      <c r="B1025">
        <v>546</v>
      </c>
    </row>
    <row r="1026" spans="2:2" x14ac:dyDescent="0.45">
      <c r="B1026">
        <v>276</v>
      </c>
    </row>
    <row r="1027" spans="2:2" x14ac:dyDescent="0.45">
      <c r="B1027">
        <v>141</v>
      </c>
    </row>
    <row r="1028" spans="2:2" x14ac:dyDescent="0.45">
      <c r="B1028">
        <v>51</v>
      </c>
    </row>
    <row r="1029" spans="2:2" x14ac:dyDescent="0.45">
      <c r="B1029">
        <v>14</v>
      </c>
    </row>
    <row r="1030" spans="2:2" x14ac:dyDescent="0.45">
      <c r="B1030">
        <v>9</v>
      </c>
    </row>
    <row r="1031" spans="2:2" x14ac:dyDescent="0.45">
      <c r="B1031">
        <v>2</v>
      </c>
    </row>
    <row r="1032" spans="2:2" x14ac:dyDescent="0.45">
      <c r="B1032">
        <v>1</v>
      </c>
    </row>
    <row r="1033" spans="2:2" x14ac:dyDescent="0.45">
      <c r="B1033">
        <v>9</v>
      </c>
    </row>
    <row r="1034" spans="2:2" x14ac:dyDescent="0.45">
      <c r="B1034">
        <v>58</v>
      </c>
    </row>
    <row r="1035" spans="2:2" x14ac:dyDescent="0.45">
      <c r="B1035">
        <v>207</v>
      </c>
    </row>
    <row r="1036" spans="2:2" x14ac:dyDescent="0.45">
      <c r="B1036">
        <v>311</v>
      </c>
    </row>
    <row r="1037" spans="2:2" x14ac:dyDescent="0.45">
      <c r="B1037">
        <v>497</v>
      </c>
    </row>
    <row r="1038" spans="2:2" x14ac:dyDescent="0.45">
      <c r="B1038">
        <v>500</v>
      </c>
    </row>
    <row r="1039" spans="2:2" x14ac:dyDescent="0.45">
      <c r="B1039">
        <v>228</v>
      </c>
    </row>
    <row r="1040" spans="2:2" x14ac:dyDescent="0.45">
      <c r="B1040">
        <v>139</v>
      </c>
    </row>
    <row r="1041" spans="2:2" x14ac:dyDescent="0.45">
      <c r="B1041">
        <v>42</v>
      </c>
    </row>
    <row r="1042" spans="2:2" x14ac:dyDescent="0.45">
      <c r="B1042">
        <v>9</v>
      </c>
    </row>
    <row r="1043" spans="2:2" x14ac:dyDescent="0.45">
      <c r="B1043">
        <v>312</v>
      </c>
    </row>
    <row r="1044" spans="2:2" x14ac:dyDescent="0.45">
      <c r="B1044">
        <v>684</v>
      </c>
    </row>
    <row r="1045" spans="2:2" x14ac:dyDescent="0.45">
      <c r="B1045">
        <v>507</v>
      </c>
    </row>
    <row r="1046" spans="2:2" x14ac:dyDescent="0.45">
      <c r="B1046">
        <v>281</v>
      </c>
    </row>
    <row r="1047" spans="2:2" x14ac:dyDescent="0.45">
      <c r="B1047">
        <v>141</v>
      </c>
    </row>
    <row r="1048" spans="2:2" x14ac:dyDescent="0.45">
      <c r="B1048">
        <v>45</v>
      </c>
    </row>
    <row r="1049" spans="2:2" x14ac:dyDescent="0.45">
      <c r="B1049">
        <v>20</v>
      </c>
    </row>
    <row r="1050" spans="2:2" x14ac:dyDescent="0.45">
      <c r="B1050">
        <v>6</v>
      </c>
    </row>
    <row r="1051" spans="2:2" x14ac:dyDescent="0.45">
      <c r="B1051">
        <v>3</v>
      </c>
    </row>
    <row r="1052" spans="2:2" x14ac:dyDescent="0.45">
      <c r="B1052">
        <v>1</v>
      </c>
    </row>
    <row r="1053" spans="2:2" x14ac:dyDescent="0.45">
      <c r="B1053">
        <v>274</v>
      </c>
    </row>
    <row r="1054" spans="2:2" x14ac:dyDescent="0.45">
      <c r="B1054">
        <v>644</v>
      </c>
    </row>
    <row r="1055" spans="2:2" x14ac:dyDescent="0.45">
      <c r="B1055">
        <v>480</v>
      </c>
    </row>
    <row r="1056" spans="2:2" x14ac:dyDescent="0.45">
      <c r="B1056">
        <v>352</v>
      </c>
    </row>
    <row r="1057" spans="2:2" x14ac:dyDescent="0.45">
      <c r="B1057">
        <v>141</v>
      </c>
    </row>
    <row r="1058" spans="2:2" x14ac:dyDescent="0.45">
      <c r="B1058">
        <v>68</v>
      </c>
    </row>
    <row r="1059" spans="2:2" x14ac:dyDescent="0.45">
      <c r="B1059">
        <v>30</v>
      </c>
    </row>
    <row r="1060" spans="2:2" x14ac:dyDescent="0.45">
      <c r="B1060">
        <v>6</v>
      </c>
    </row>
    <row r="1061" spans="2:2" x14ac:dyDescent="0.45">
      <c r="B1061">
        <v>4</v>
      </c>
    </row>
    <row r="1062" spans="2:2" x14ac:dyDescent="0.45">
      <c r="B1062">
        <v>1</v>
      </c>
    </row>
    <row r="1063" spans="2:2" x14ac:dyDescent="0.45">
      <c r="B1063">
        <v>9</v>
      </c>
    </row>
    <row r="1064" spans="2:2" x14ac:dyDescent="0.45">
      <c r="B1064">
        <v>39</v>
      </c>
    </row>
    <row r="1065" spans="2:2" x14ac:dyDescent="0.45">
      <c r="B1065">
        <v>197</v>
      </c>
    </row>
    <row r="1066" spans="2:2" x14ac:dyDescent="0.45">
      <c r="B1066">
        <v>423</v>
      </c>
    </row>
    <row r="1067" spans="2:2" x14ac:dyDescent="0.45">
      <c r="B1067">
        <v>553</v>
      </c>
    </row>
    <row r="1068" spans="2:2" x14ac:dyDescent="0.45">
      <c r="B1068">
        <v>436</v>
      </c>
    </row>
    <row r="1069" spans="2:2" x14ac:dyDescent="0.45">
      <c r="B1069">
        <v>232</v>
      </c>
    </row>
    <row r="1070" spans="2:2" x14ac:dyDescent="0.45">
      <c r="B1070">
        <v>73</v>
      </c>
    </row>
    <row r="1071" spans="2:2" x14ac:dyDescent="0.45">
      <c r="B1071">
        <v>32</v>
      </c>
    </row>
    <row r="1072" spans="2:2" x14ac:dyDescent="0.45">
      <c r="B1072">
        <v>6</v>
      </c>
    </row>
    <row r="1073" spans="2:2" x14ac:dyDescent="0.45">
      <c r="B1073">
        <v>339</v>
      </c>
    </row>
    <row r="1074" spans="2:2" x14ac:dyDescent="0.45">
      <c r="B1074">
        <v>748</v>
      </c>
    </row>
    <row r="1075" spans="2:2" x14ac:dyDescent="0.45">
      <c r="B1075">
        <v>502</v>
      </c>
    </row>
    <row r="1076" spans="2:2" x14ac:dyDescent="0.45">
      <c r="B1076">
        <v>254</v>
      </c>
    </row>
    <row r="1077" spans="2:2" x14ac:dyDescent="0.45">
      <c r="B1077">
        <v>102</v>
      </c>
    </row>
    <row r="1078" spans="2:2" x14ac:dyDescent="0.45">
      <c r="B1078">
        <v>40</v>
      </c>
    </row>
    <row r="1079" spans="2:2" x14ac:dyDescent="0.45">
      <c r="B1079">
        <v>13</v>
      </c>
    </row>
    <row r="1080" spans="2:2" x14ac:dyDescent="0.45">
      <c r="B1080">
        <v>0</v>
      </c>
    </row>
    <row r="1081" spans="2:2" x14ac:dyDescent="0.45">
      <c r="B1081">
        <v>1</v>
      </c>
    </row>
    <row r="1082" spans="2:2" x14ac:dyDescent="0.45">
      <c r="B1082">
        <v>1</v>
      </c>
    </row>
    <row r="1083" spans="2:2" x14ac:dyDescent="0.45">
      <c r="B1083">
        <v>237</v>
      </c>
    </row>
    <row r="1084" spans="2:2" x14ac:dyDescent="0.45">
      <c r="B1084">
        <v>558</v>
      </c>
    </row>
    <row r="1085" spans="2:2" x14ac:dyDescent="0.45">
      <c r="B1085">
        <v>543</v>
      </c>
    </row>
    <row r="1086" spans="2:2" x14ac:dyDescent="0.45">
      <c r="B1086">
        <v>360</v>
      </c>
    </row>
    <row r="1087" spans="2:2" x14ac:dyDescent="0.45">
      <c r="B1087">
        <v>169</v>
      </c>
    </row>
    <row r="1088" spans="2:2" x14ac:dyDescent="0.45">
      <c r="B1088">
        <v>85</v>
      </c>
    </row>
    <row r="1089" spans="2:2" x14ac:dyDescent="0.45">
      <c r="B1089">
        <v>30</v>
      </c>
    </row>
    <row r="1090" spans="2:2" x14ac:dyDescent="0.45">
      <c r="B1090">
        <v>12</v>
      </c>
    </row>
    <row r="1091" spans="2:2" x14ac:dyDescent="0.45">
      <c r="B1091">
        <v>2</v>
      </c>
    </row>
    <row r="1092" spans="2:2" x14ac:dyDescent="0.45">
      <c r="B1092">
        <v>4</v>
      </c>
    </row>
    <row r="1093" spans="2:2" x14ac:dyDescent="0.45">
      <c r="B1093">
        <v>3</v>
      </c>
    </row>
    <row r="1094" spans="2:2" x14ac:dyDescent="0.45">
      <c r="B1094">
        <v>63</v>
      </c>
    </row>
    <row r="1095" spans="2:2" x14ac:dyDescent="0.45">
      <c r="B1095">
        <v>241</v>
      </c>
    </row>
    <row r="1096" spans="2:2" x14ac:dyDescent="0.45">
      <c r="B1096">
        <v>340</v>
      </c>
    </row>
    <row r="1097" spans="2:2" x14ac:dyDescent="0.45">
      <c r="B1097">
        <v>527</v>
      </c>
    </row>
    <row r="1098" spans="2:2" x14ac:dyDescent="0.45">
      <c r="B1098">
        <v>474</v>
      </c>
    </row>
    <row r="1099" spans="2:2" x14ac:dyDescent="0.45">
      <c r="B1099">
        <v>185</v>
      </c>
    </row>
    <row r="1100" spans="2:2" x14ac:dyDescent="0.45">
      <c r="B1100">
        <v>124</v>
      </c>
    </row>
    <row r="1101" spans="2:2" x14ac:dyDescent="0.45">
      <c r="B1101">
        <v>36</v>
      </c>
    </row>
    <row r="1102" spans="2:2" x14ac:dyDescent="0.45">
      <c r="B1102">
        <v>7</v>
      </c>
    </row>
    <row r="1103" spans="2:2" x14ac:dyDescent="0.45">
      <c r="B1103">
        <v>305</v>
      </c>
    </row>
    <row r="1104" spans="2:2" x14ac:dyDescent="0.45">
      <c r="B1104">
        <v>632</v>
      </c>
    </row>
    <row r="1105" spans="2:2" x14ac:dyDescent="0.45">
      <c r="B1105">
        <v>489</v>
      </c>
    </row>
    <row r="1106" spans="2:2" x14ac:dyDescent="0.45">
      <c r="B1106">
        <v>309</v>
      </c>
    </row>
    <row r="1107" spans="2:2" x14ac:dyDescent="0.45">
      <c r="B1107">
        <v>155</v>
      </c>
    </row>
    <row r="1108" spans="2:2" x14ac:dyDescent="0.45">
      <c r="B1108">
        <v>61</v>
      </c>
    </row>
    <row r="1109" spans="2:2" x14ac:dyDescent="0.45">
      <c r="B1109">
        <v>31</v>
      </c>
    </row>
    <row r="1110" spans="2:2" x14ac:dyDescent="0.45">
      <c r="B1110">
        <v>13</v>
      </c>
    </row>
    <row r="1111" spans="2:2" x14ac:dyDescent="0.45">
      <c r="B1111">
        <v>4</v>
      </c>
    </row>
    <row r="1112" spans="2:2" x14ac:dyDescent="0.45">
      <c r="B1112">
        <v>1</v>
      </c>
    </row>
    <row r="1113" spans="2:2" x14ac:dyDescent="0.45">
      <c r="B1113">
        <v>295</v>
      </c>
    </row>
    <row r="1114" spans="2:2" x14ac:dyDescent="0.45">
      <c r="B1114">
        <v>735</v>
      </c>
    </row>
    <row r="1115" spans="2:2" x14ac:dyDescent="0.45">
      <c r="B1115">
        <v>529</v>
      </c>
    </row>
    <row r="1116" spans="2:2" x14ac:dyDescent="0.45">
      <c r="B1116">
        <v>277</v>
      </c>
    </row>
    <row r="1117" spans="2:2" x14ac:dyDescent="0.45">
      <c r="B1117">
        <v>92</v>
      </c>
    </row>
    <row r="1118" spans="2:2" x14ac:dyDescent="0.45">
      <c r="B1118">
        <v>49</v>
      </c>
    </row>
    <row r="1119" spans="2:2" x14ac:dyDescent="0.45">
      <c r="B1119">
        <v>18</v>
      </c>
    </row>
    <row r="1120" spans="2:2" x14ac:dyDescent="0.45">
      <c r="B1120">
        <v>3</v>
      </c>
    </row>
    <row r="1121" spans="2:2" x14ac:dyDescent="0.45">
      <c r="B1121">
        <v>1</v>
      </c>
    </row>
    <row r="1122" spans="2:2" x14ac:dyDescent="0.45">
      <c r="B1122">
        <v>1</v>
      </c>
    </row>
    <row r="1123" spans="2:2" x14ac:dyDescent="0.45">
      <c r="B1123">
        <v>11</v>
      </c>
    </row>
    <row r="1124" spans="2:2" x14ac:dyDescent="0.45">
      <c r="B1124">
        <v>65</v>
      </c>
    </row>
    <row r="1125" spans="2:2" x14ac:dyDescent="0.45">
      <c r="B1125">
        <v>245</v>
      </c>
    </row>
    <row r="1126" spans="2:2" x14ac:dyDescent="0.45">
      <c r="B1126">
        <v>423</v>
      </c>
    </row>
    <row r="1127" spans="2:2" x14ac:dyDescent="0.45">
      <c r="B1127">
        <v>529</v>
      </c>
    </row>
    <row r="1128" spans="2:2" x14ac:dyDescent="0.45">
      <c r="B1128">
        <v>313</v>
      </c>
    </row>
    <row r="1129" spans="2:2" x14ac:dyDescent="0.45">
      <c r="B1129">
        <v>264</v>
      </c>
    </row>
    <row r="1130" spans="2:2" x14ac:dyDescent="0.45">
      <c r="B1130">
        <v>115</v>
      </c>
    </row>
    <row r="1131" spans="2:2" x14ac:dyDescent="0.45">
      <c r="B1131">
        <v>30</v>
      </c>
    </row>
    <row r="1132" spans="2:2" x14ac:dyDescent="0.45">
      <c r="B1132">
        <v>5</v>
      </c>
    </row>
    <row r="1133" spans="2:2" x14ac:dyDescent="0.45">
      <c r="B1133">
        <v>362</v>
      </c>
    </row>
    <row r="1134" spans="2:2" x14ac:dyDescent="0.45">
      <c r="B1134">
        <v>671</v>
      </c>
    </row>
    <row r="1135" spans="2:2" x14ac:dyDescent="0.45">
      <c r="B1135">
        <v>519</v>
      </c>
    </row>
    <row r="1136" spans="2:2" x14ac:dyDescent="0.45">
      <c r="B1136">
        <v>277</v>
      </c>
    </row>
    <row r="1137" spans="2:2" x14ac:dyDescent="0.45">
      <c r="B1137">
        <v>113</v>
      </c>
    </row>
    <row r="1138" spans="2:2" x14ac:dyDescent="0.45">
      <c r="B1138">
        <v>39</v>
      </c>
    </row>
    <row r="1139" spans="2:2" x14ac:dyDescent="0.45">
      <c r="B1139">
        <v>14</v>
      </c>
    </row>
    <row r="1140" spans="2:2" x14ac:dyDescent="0.45">
      <c r="B1140">
        <v>3</v>
      </c>
    </row>
    <row r="1141" spans="2:2" x14ac:dyDescent="0.45">
      <c r="B1141">
        <v>1</v>
      </c>
    </row>
    <row r="1142" spans="2:2" x14ac:dyDescent="0.45">
      <c r="B1142">
        <v>1</v>
      </c>
    </row>
    <row r="1143" spans="2:2" x14ac:dyDescent="0.45">
      <c r="B1143">
        <v>232</v>
      </c>
    </row>
    <row r="1144" spans="2:2" x14ac:dyDescent="0.45">
      <c r="B1144">
        <v>606</v>
      </c>
    </row>
    <row r="1145" spans="2:2" x14ac:dyDescent="0.45">
      <c r="B1145">
        <v>533</v>
      </c>
    </row>
    <row r="1146" spans="2:2" x14ac:dyDescent="0.45">
      <c r="B1146">
        <v>357</v>
      </c>
    </row>
    <row r="1147" spans="2:2" x14ac:dyDescent="0.45">
      <c r="B1147">
        <v>147</v>
      </c>
    </row>
    <row r="1148" spans="2:2" x14ac:dyDescent="0.45">
      <c r="B1148">
        <v>75</v>
      </c>
    </row>
    <row r="1149" spans="2:2" x14ac:dyDescent="0.45">
      <c r="B1149">
        <v>29</v>
      </c>
    </row>
    <row r="1150" spans="2:2" x14ac:dyDescent="0.45">
      <c r="B1150">
        <v>17</v>
      </c>
    </row>
    <row r="1151" spans="2:2" x14ac:dyDescent="0.45">
      <c r="B1151">
        <v>2</v>
      </c>
    </row>
    <row r="1152" spans="2:2" x14ac:dyDescent="0.45">
      <c r="B1152">
        <v>2</v>
      </c>
    </row>
    <row r="1153" spans="2:2" x14ac:dyDescent="0.45">
      <c r="B1153">
        <v>31</v>
      </c>
    </row>
    <row r="1154" spans="2:2" x14ac:dyDescent="0.45">
      <c r="B1154">
        <v>159</v>
      </c>
    </row>
    <row r="1155" spans="2:2" x14ac:dyDescent="0.45">
      <c r="B1155">
        <v>391</v>
      </c>
    </row>
    <row r="1156" spans="2:2" x14ac:dyDescent="0.45">
      <c r="B1156">
        <v>522</v>
      </c>
    </row>
    <row r="1157" spans="2:2" x14ac:dyDescent="0.45">
      <c r="B1157">
        <v>583</v>
      </c>
    </row>
    <row r="1158" spans="2:2" x14ac:dyDescent="0.45">
      <c r="B1158">
        <v>214</v>
      </c>
    </row>
    <row r="1159" spans="2:2" x14ac:dyDescent="0.45">
      <c r="B1159">
        <v>76</v>
      </c>
    </row>
    <row r="1160" spans="2:2" x14ac:dyDescent="0.45">
      <c r="B1160">
        <v>19</v>
      </c>
    </row>
    <row r="1161" spans="2:2" x14ac:dyDescent="0.45">
      <c r="B1161">
        <v>4</v>
      </c>
    </row>
    <row r="1162" spans="2:2" x14ac:dyDescent="0.45">
      <c r="B1162">
        <v>1</v>
      </c>
    </row>
    <row r="1163" spans="2:2" x14ac:dyDescent="0.45">
      <c r="B1163">
        <v>271</v>
      </c>
    </row>
    <row r="1164" spans="2:2" x14ac:dyDescent="0.45">
      <c r="B1164">
        <v>556</v>
      </c>
    </row>
    <row r="1165" spans="2:2" x14ac:dyDescent="0.45">
      <c r="B1165">
        <v>529</v>
      </c>
    </row>
    <row r="1166" spans="2:2" x14ac:dyDescent="0.45">
      <c r="B1166">
        <v>325</v>
      </c>
    </row>
    <row r="1167" spans="2:2" x14ac:dyDescent="0.45">
      <c r="B1167">
        <v>174</v>
      </c>
    </row>
    <row r="1168" spans="2:2" x14ac:dyDescent="0.45">
      <c r="B1168">
        <v>78</v>
      </c>
    </row>
    <row r="1169" spans="2:2" x14ac:dyDescent="0.45">
      <c r="B1169">
        <v>39</v>
      </c>
    </row>
    <row r="1170" spans="2:2" x14ac:dyDescent="0.45">
      <c r="B1170">
        <v>25</v>
      </c>
    </row>
    <row r="1171" spans="2:2" x14ac:dyDescent="0.45">
      <c r="B1171">
        <v>1</v>
      </c>
    </row>
    <row r="1172" spans="2:2" x14ac:dyDescent="0.45">
      <c r="B1172">
        <v>2</v>
      </c>
    </row>
    <row r="1173" spans="2:2" x14ac:dyDescent="0.45">
      <c r="B1173">
        <v>223</v>
      </c>
    </row>
    <row r="1174" spans="2:2" x14ac:dyDescent="0.45">
      <c r="B1174">
        <v>611</v>
      </c>
    </row>
    <row r="1175" spans="2:2" x14ac:dyDescent="0.45">
      <c r="B1175">
        <v>550</v>
      </c>
    </row>
    <row r="1176" spans="2:2" x14ac:dyDescent="0.45">
      <c r="B1176">
        <v>352</v>
      </c>
    </row>
    <row r="1177" spans="2:2" x14ac:dyDescent="0.45">
      <c r="B1177">
        <v>144</v>
      </c>
    </row>
    <row r="1178" spans="2:2" x14ac:dyDescent="0.45">
      <c r="B1178">
        <v>73</v>
      </c>
    </row>
    <row r="1179" spans="2:2" x14ac:dyDescent="0.45">
      <c r="B1179">
        <v>29</v>
      </c>
    </row>
    <row r="1180" spans="2:2" x14ac:dyDescent="0.45">
      <c r="B1180">
        <v>8</v>
      </c>
    </row>
    <row r="1181" spans="2:2" x14ac:dyDescent="0.45">
      <c r="B1181">
        <v>7</v>
      </c>
    </row>
    <row r="1182" spans="2:2" x14ac:dyDescent="0.45">
      <c r="B1182">
        <v>3</v>
      </c>
    </row>
    <row r="1183" spans="2:2" x14ac:dyDescent="0.45">
      <c r="B1183">
        <v>27</v>
      </c>
    </row>
    <row r="1184" spans="2:2" x14ac:dyDescent="0.45">
      <c r="B1184">
        <v>111</v>
      </c>
    </row>
    <row r="1185" spans="2:2" x14ac:dyDescent="0.45">
      <c r="B1185">
        <v>344</v>
      </c>
    </row>
    <row r="1186" spans="2:2" x14ac:dyDescent="0.45">
      <c r="B1186">
        <v>482</v>
      </c>
    </row>
    <row r="1187" spans="2:2" x14ac:dyDescent="0.45">
      <c r="B1187">
        <v>538</v>
      </c>
    </row>
    <row r="1188" spans="2:2" x14ac:dyDescent="0.45">
      <c r="B1188">
        <v>235</v>
      </c>
    </row>
    <row r="1189" spans="2:2" x14ac:dyDescent="0.45">
      <c r="B1189">
        <v>180</v>
      </c>
    </row>
    <row r="1190" spans="2:2" x14ac:dyDescent="0.45">
      <c r="B1190">
        <v>65</v>
      </c>
    </row>
    <row r="1191" spans="2:2" x14ac:dyDescent="0.45">
      <c r="B1191">
        <v>14</v>
      </c>
    </row>
    <row r="1192" spans="2:2" x14ac:dyDescent="0.45">
      <c r="B1192">
        <v>4</v>
      </c>
    </row>
    <row r="1193" spans="2:2" x14ac:dyDescent="0.45">
      <c r="B1193">
        <v>430</v>
      </c>
    </row>
    <row r="1194" spans="2:2" x14ac:dyDescent="0.45">
      <c r="B1194">
        <v>787</v>
      </c>
    </row>
    <row r="1195" spans="2:2" x14ac:dyDescent="0.45">
      <c r="B1195">
        <v>501</v>
      </c>
    </row>
    <row r="1196" spans="2:2" x14ac:dyDescent="0.45">
      <c r="B1196">
        <v>188</v>
      </c>
    </row>
    <row r="1197" spans="2:2" x14ac:dyDescent="0.45">
      <c r="B1197">
        <v>66</v>
      </c>
    </row>
    <row r="1198" spans="2:2" x14ac:dyDescent="0.45">
      <c r="B1198">
        <v>19</v>
      </c>
    </row>
    <row r="1199" spans="2:2" x14ac:dyDescent="0.45">
      <c r="B1199">
        <v>6</v>
      </c>
    </row>
    <row r="1200" spans="2:2" x14ac:dyDescent="0.45">
      <c r="B1200">
        <v>1</v>
      </c>
    </row>
    <row r="1201" spans="2:2" x14ac:dyDescent="0.45">
      <c r="B1201">
        <v>1</v>
      </c>
    </row>
    <row r="1202" spans="2:2" x14ac:dyDescent="0.45">
      <c r="B1202">
        <v>1</v>
      </c>
    </row>
    <row r="1203" spans="2:2" x14ac:dyDescent="0.45">
      <c r="B1203">
        <v>337</v>
      </c>
    </row>
    <row r="1204" spans="2:2" x14ac:dyDescent="0.45">
      <c r="B1204">
        <v>663</v>
      </c>
    </row>
    <row r="1205" spans="2:2" x14ac:dyDescent="0.45">
      <c r="B1205">
        <v>508</v>
      </c>
    </row>
    <row r="1206" spans="2:2" x14ac:dyDescent="0.45">
      <c r="B1206">
        <v>300</v>
      </c>
    </row>
    <row r="1207" spans="2:2" x14ac:dyDescent="0.45">
      <c r="B1207">
        <v>120</v>
      </c>
    </row>
    <row r="1208" spans="2:2" x14ac:dyDescent="0.45">
      <c r="B1208">
        <v>46</v>
      </c>
    </row>
    <row r="1209" spans="2:2" x14ac:dyDescent="0.45">
      <c r="B1209">
        <v>17</v>
      </c>
    </row>
    <row r="1210" spans="2:2" x14ac:dyDescent="0.45">
      <c r="B1210">
        <v>6</v>
      </c>
    </row>
    <row r="1211" spans="2:2" x14ac:dyDescent="0.45">
      <c r="B1211">
        <v>2</v>
      </c>
    </row>
    <row r="1212" spans="2:2" x14ac:dyDescent="0.45">
      <c r="B1212">
        <v>1</v>
      </c>
    </row>
    <row r="1213" spans="2:2" x14ac:dyDescent="0.45">
      <c r="B1213">
        <v>2</v>
      </c>
    </row>
    <row r="1214" spans="2:2" x14ac:dyDescent="0.45">
      <c r="B1214">
        <v>26</v>
      </c>
    </row>
    <row r="1215" spans="2:2" x14ac:dyDescent="0.45">
      <c r="B1215">
        <v>176</v>
      </c>
    </row>
    <row r="1216" spans="2:2" x14ac:dyDescent="0.45">
      <c r="B1216">
        <v>347</v>
      </c>
    </row>
    <row r="1217" spans="2:2" x14ac:dyDescent="0.45">
      <c r="B1217">
        <v>724</v>
      </c>
    </row>
    <row r="1218" spans="2:2" x14ac:dyDescent="0.45">
      <c r="B1218">
        <v>399</v>
      </c>
    </row>
    <row r="1219" spans="2:2" x14ac:dyDescent="0.45">
      <c r="B1219">
        <v>221</v>
      </c>
    </row>
    <row r="1220" spans="2:2" x14ac:dyDescent="0.45">
      <c r="B1220">
        <v>85</v>
      </c>
    </row>
    <row r="1221" spans="2:2" x14ac:dyDescent="0.45">
      <c r="B1221">
        <v>14</v>
      </c>
    </row>
    <row r="1222" spans="2:2" x14ac:dyDescent="0.45">
      <c r="B1222">
        <v>6</v>
      </c>
    </row>
    <row r="1223" spans="2:2" x14ac:dyDescent="0.45">
      <c r="B1223">
        <v>398</v>
      </c>
    </row>
    <row r="1224" spans="2:2" x14ac:dyDescent="0.45">
      <c r="B1224">
        <v>730</v>
      </c>
    </row>
    <row r="1225" spans="2:2" x14ac:dyDescent="0.45">
      <c r="B1225">
        <v>517</v>
      </c>
    </row>
    <row r="1226" spans="2:2" x14ac:dyDescent="0.45">
      <c r="B1226">
        <v>233</v>
      </c>
    </row>
    <row r="1227" spans="2:2" x14ac:dyDescent="0.45">
      <c r="B1227">
        <v>90</v>
      </c>
    </row>
    <row r="1228" spans="2:2" x14ac:dyDescent="0.45">
      <c r="B1228">
        <v>24</v>
      </c>
    </row>
    <row r="1229" spans="2:2" x14ac:dyDescent="0.45">
      <c r="B1229">
        <v>6</v>
      </c>
    </row>
    <row r="1230" spans="2:2" x14ac:dyDescent="0.45">
      <c r="B1230">
        <v>1</v>
      </c>
    </row>
    <row r="1231" spans="2:2" x14ac:dyDescent="0.45">
      <c r="B1231">
        <v>0</v>
      </c>
    </row>
    <row r="1232" spans="2:2" x14ac:dyDescent="0.45">
      <c r="B1232">
        <v>1</v>
      </c>
    </row>
    <row r="1233" spans="2:2" x14ac:dyDescent="0.45">
      <c r="B1233">
        <v>273</v>
      </c>
    </row>
    <row r="1234" spans="2:2" x14ac:dyDescent="0.45">
      <c r="B1234">
        <v>672</v>
      </c>
    </row>
    <row r="1235" spans="2:2" x14ac:dyDescent="0.45">
      <c r="B1235">
        <v>548</v>
      </c>
    </row>
    <row r="1236" spans="2:2" x14ac:dyDescent="0.45">
      <c r="B1236">
        <v>280</v>
      </c>
    </row>
    <row r="1237" spans="2:2" x14ac:dyDescent="0.45">
      <c r="B1237">
        <v>144</v>
      </c>
    </row>
    <row r="1238" spans="2:2" x14ac:dyDescent="0.45">
      <c r="B1238">
        <v>54</v>
      </c>
    </row>
    <row r="1239" spans="2:2" x14ac:dyDescent="0.45">
      <c r="B1239">
        <v>19</v>
      </c>
    </row>
    <row r="1240" spans="2:2" x14ac:dyDescent="0.45">
      <c r="B1240">
        <v>7</v>
      </c>
    </row>
    <row r="1241" spans="2:2" x14ac:dyDescent="0.45">
      <c r="B1241">
        <v>1</v>
      </c>
    </row>
    <row r="1242" spans="2:2" x14ac:dyDescent="0.45">
      <c r="B1242">
        <v>2</v>
      </c>
    </row>
    <row r="1243" spans="2:2" x14ac:dyDescent="0.45">
      <c r="B1243">
        <v>5</v>
      </c>
    </row>
    <row r="1244" spans="2:2" x14ac:dyDescent="0.45">
      <c r="B1244">
        <v>34</v>
      </c>
    </row>
    <row r="1245" spans="2:2" x14ac:dyDescent="0.45">
      <c r="B1245">
        <v>136</v>
      </c>
    </row>
    <row r="1246" spans="2:2" x14ac:dyDescent="0.45">
      <c r="B1246">
        <v>456</v>
      </c>
    </row>
    <row r="1247" spans="2:2" x14ac:dyDescent="0.45">
      <c r="B1247">
        <v>515</v>
      </c>
    </row>
    <row r="1248" spans="2:2" x14ac:dyDescent="0.45">
      <c r="B1248">
        <v>467</v>
      </c>
    </row>
    <row r="1249" spans="2:2" x14ac:dyDescent="0.45">
      <c r="B1249">
        <v>283</v>
      </c>
    </row>
    <row r="1250" spans="2:2" x14ac:dyDescent="0.45">
      <c r="B1250">
        <v>72</v>
      </c>
    </row>
    <row r="1251" spans="2:2" x14ac:dyDescent="0.45">
      <c r="B1251">
        <v>23</v>
      </c>
    </row>
    <row r="1252" spans="2:2" x14ac:dyDescent="0.45">
      <c r="B1252">
        <v>9</v>
      </c>
    </row>
    <row r="1253" spans="2:2" x14ac:dyDescent="0.45">
      <c r="B1253">
        <v>393</v>
      </c>
    </row>
    <row r="1254" spans="2:2" x14ac:dyDescent="0.45">
      <c r="B1254">
        <v>705</v>
      </c>
    </row>
    <row r="1255" spans="2:2" x14ac:dyDescent="0.45">
      <c r="B1255">
        <v>491</v>
      </c>
    </row>
    <row r="1256" spans="2:2" x14ac:dyDescent="0.45">
      <c r="B1256">
        <v>233</v>
      </c>
    </row>
    <row r="1257" spans="2:2" x14ac:dyDescent="0.45">
      <c r="B1257">
        <v>110</v>
      </c>
    </row>
    <row r="1258" spans="2:2" x14ac:dyDescent="0.45">
      <c r="B1258">
        <v>44</v>
      </c>
    </row>
    <row r="1259" spans="2:2" x14ac:dyDescent="0.45">
      <c r="B1259">
        <v>16</v>
      </c>
    </row>
    <row r="1260" spans="2:2" x14ac:dyDescent="0.45">
      <c r="B1260">
        <v>3</v>
      </c>
    </row>
    <row r="1261" spans="2:2" x14ac:dyDescent="0.45">
      <c r="B1261">
        <v>3</v>
      </c>
    </row>
    <row r="1262" spans="2:2" x14ac:dyDescent="0.45">
      <c r="B1262">
        <v>2</v>
      </c>
    </row>
    <row r="1263" spans="2:2" x14ac:dyDescent="0.45">
      <c r="B1263">
        <v>340</v>
      </c>
    </row>
    <row r="1264" spans="2:2" x14ac:dyDescent="0.45">
      <c r="B1264">
        <v>645</v>
      </c>
    </row>
    <row r="1265" spans="2:2" x14ac:dyDescent="0.45">
      <c r="B1265">
        <v>523</v>
      </c>
    </row>
    <row r="1266" spans="2:2" x14ac:dyDescent="0.45">
      <c r="B1266">
        <v>293</v>
      </c>
    </row>
    <row r="1267" spans="2:2" x14ac:dyDescent="0.45">
      <c r="B1267">
        <v>107</v>
      </c>
    </row>
    <row r="1268" spans="2:2" x14ac:dyDescent="0.45">
      <c r="B1268">
        <v>62</v>
      </c>
    </row>
    <row r="1269" spans="2:2" x14ac:dyDescent="0.45">
      <c r="B1269">
        <v>18</v>
      </c>
    </row>
    <row r="1270" spans="2:2" x14ac:dyDescent="0.45">
      <c r="B1270">
        <v>5</v>
      </c>
    </row>
    <row r="1271" spans="2:2" x14ac:dyDescent="0.45">
      <c r="B1271">
        <v>6</v>
      </c>
    </row>
    <row r="1272" spans="2:2" x14ac:dyDescent="0.45">
      <c r="B1272">
        <v>1</v>
      </c>
    </row>
    <row r="1273" spans="2:2" x14ac:dyDescent="0.45">
      <c r="B1273">
        <v>36</v>
      </c>
    </row>
    <row r="1274" spans="2:2" x14ac:dyDescent="0.45">
      <c r="B1274">
        <v>122</v>
      </c>
    </row>
    <row r="1275" spans="2:2" x14ac:dyDescent="0.45">
      <c r="B1275">
        <v>344</v>
      </c>
    </row>
    <row r="1276" spans="2:2" x14ac:dyDescent="0.45">
      <c r="B1276">
        <v>645</v>
      </c>
    </row>
    <row r="1277" spans="2:2" x14ac:dyDescent="0.45">
      <c r="B1277">
        <v>452</v>
      </c>
    </row>
    <row r="1278" spans="2:2" x14ac:dyDescent="0.45">
      <c r="B1278">
        <v>266</v>
      </c>
    </row>
    <row r="1279" spans="2:2" x14ac:dyDescent="0.45">
      <c r="B1279">
        <v>111</v>
      </c>
    </row>
    <row r="1280" spans="2:2" x14ac:dyDescent="0.45">
      <c r="B1280">
        <v>19</v>
      </c>
    </row>
    <row r="1281" spans="2:2" x14ac:dyDescent="0.45">
      <c r="B1281">
        <v>4</v>
      </c>
    </row>
    <row r="1282" spans="2:2" x14ac:dyDescent="0.45">
      <c r="B1282">
        <v>1</v>
      </c>
    </row>
    <row r="1283" spans="2:2" x14ac:dyDescent="0.45">
      <c r="B1283">
        <v>221</v>
      </c>
    </row>
    <row r="1284" spans="2:2" x14ac:dyDescent="0.45">
      <c r="B1284">
        <v>534</v>
      </c>
    </row>
    <row r="1285" spans="2:2" x14ac:dyDescent="0.45">
      <c r="B1285">
        <v>523</v>
      </c>
    </row>
    <row r="1286" spans="2:2" x14ac:dyDescent="0.45">
      <c r="B1286">
        <v>318</v>
      </c>
    </row>
    <row r="1287" spans="2:2" x14ac:dyDescent="0.45">
      <c r="B1287">
        <v>202</v>
      </c>
    </row>
    <row r="1288" spans="2:2" x14ac:dyDescent="0.45">
      <c r="B1288">
        <v>108</v>
      </c>
    </row>
    <row r="1289" spans="2:2" x14ac:dyDescent="0.45">
      <c r="B1289">
        <v>45</v>
      </c>
    </row>
    <row r="1290" spans="2:2" x14ac:dyDescent="0.45">
      <c r="B1290">
        <v>24</v>
      </c>
    </row>
    <row r="1291" spans="2:2" x14ac:dyDescent="0.45">
      <c r="B1291">
        <v>18</v>
      </c>
    </row>
    <row r="1292" spans="2:2" x14ac:dyDescent="0.45">
      <c r="B1292">
        <v>7</v>
      </c>
    </row>
    <row r="1293" spans="2:2" x14ac:dyDescent="0.45">
      <c r="B1293">
        <v>302</v>
      </c>
    </row>
    <row r="1294" spans="2:2" x14ac:dyDescent="0.45">
      <c r="B1294">
        <v>630</v>
      </c>
    </row>
    <row r="1295" spans="2:2" x14ac:dyDescent="0.45">
      <c r="B1295">
        <v>554</v>
      </c>
    </row>
    <row r="1296" spans="2:2" x14ac:dyDescent="0.45">
      <c r="B1296">
        <v>290</v>
      </c>
    </row>
    <row r="1297" spans="2:2" x14ac:dyDescent="0.45">
      <c r="B1297">
        <v>134</v>
      </c>
    </row>
    <row r="1298" spans="2:2" x14ac:dyDescent="0.45">
      <c r="B1298">
        <v>64</v>
      </c>
    </row>
    <row r="1299" spans="2:2" x14ac:dyDescent="0.45">
      <c r="B1299">
        <v>13</v>
      </c>
    </row>
    <row r="1300" spans="2:2" x14ac:dyDescent="0.45">
      <c r="B1300">
        <v>8</v>
      </c>
    </row>
    <row r="1301" spans="2:2" x14ac:dyDescent="0.45">
      <c r="B1301">
        <v>3</v>
      </c>
    </row>
    <row r="1302" spans="2:2" x14ac:dyDescent="0.45">
      <c r="B1302">
        <v>2</v>
      </c>
    </row>
    <row r="1303" spans="2:2" x14ac:dyDescent="0.45">
      <c r="B1303">
        <v>9</v>
      </c>
    </row>
    <row r="1304" spans="2:2" x14ac:dyDescent="0.45">
      <c r="B1304">
        <v>72</v>
      </c>
    </row>
    <row r="1305" spans="2:2" x14ac:dyDescent="0.45">
      <c r="B1305">
        <v>226</v>
      </c>
    </row>
    <row r="1306" spans="2:2" x14ac:dyDescent="0.45">
      <c r="B1306">
        <v>417</v>
      </c>
    </row>
    <row r="1307" spans="2:2" x14ac:dyDescent="0.45">
      <c r="B1307">
        <v>671</v>
      </c>
    </row>
    <row r="1308" spans="2:2" x14ac:dyDescent="0.45">
      <c r="B1308">
        <v>344</v>
      </c>
    </row>
    <row r="1309" spans="2:2" x14ac:dyDescent="0.45">
      <c r="B1309">
        <v>182</v>
      </c>
    </row>
    <row r="1310" spans="2:2" x14ac:dyDescent="0.45">
      <c r="B1310">
        <v>61</v>
      </c>
    </row>
    <row r="1311" spans="2:2" x14ac:dyDescent="0.45">
      <c r="B1311">
        <v>13</v>
      </c>
    </row>
    <row r="1312" spans="2:2" x14ac:dyDescent="0.45">
      <c r="B1312">
        <v>5</v>
      </c>
    </row>
    <row r="1313" spans="2:2" x14ac:dyDescent="0.45">
      <c r="B1313">
        <v>321</v>
      </c>
    </row>
    <row r="1314" spans="2:2" x14ac:dyDescent="0.45">
      <c r="B1314">
        <v>604</v>
      </c>
    </row>
    <row r="1315" spans="2:2" x14ac:dyDescent="0.45">
      <c r="B1315">
        <v>533</v>
      </c>
    </row>
    <row r="1316" spans="2:2" x14ac:dyDescent="0.45">
      <c r="B1316">
        <v>287</v>
      </c>
    </row>
    <row r="1317" spans="2:2" x14ac:dyDescent="0.45">
      <c r="B1317">
        <v>151</v>
      </c>
    </row>
    <row r="1318" spans="2:2" x14ac:dyDescent="0.45">
      <c r="B1318">
        <v>57</v>
      </c>
    </row>
    <row r="1319" spans="2:2" x14ac:dyDescent="0.45">
      <c r="B1319">
        <v>31</v>
      </c>
    </row>
    <row r="1320" spans="2:2" x14ac:dyDescent="0.45">
      <c r="B1320">
        <v>10</v>
      </c>
    </row>
    <row r="1321" spans="2:2" x14ac:dyDescent="0.45">
      <c r="B1321">
        <v>5</v>
      </c>
    </row>
    <row r="1322" spans="2:2" x14ac:dyDescent="0.45">
      <c r="B1322">
        <v>1</v>
      </c>
    </row>
    <row r="1323" spans="2:2" x14ac:dyDescent="0.45">
      <c r="B1323">
        <v>215</v>
      </c>
    </row>
    <row r="1324" spans="2:2" x14ac:dyDescent="0.45">
      <c r="B1324">
        <v>575</v>
      </c>
    </row>
    <row r="1325" spans="2:2" x14ac:dyDescent="0.45">
      <c r="B1325">
        <v>512</v>
      </c>
    </row>
    <row r="1326" spans="2:2" x14ac:dyDescent="0.45">
      <c r="B1326">
        <v>386</v>
      </c>
    </row>
    <row r="1327" spans="2:2" x14ac:dyDescent="0.45">
      <c r="B1327">
        <v>178</v>
      </c>
    </row>
    <row r="1328" spans="2:2" x14ac:dyDescent="0.45">
      <c r="B1328">
        <v>84</v>
      </c>
    </row>
    <row r="1329" spans="2:2" x14ac:dyDescent="0.45">
      <c r="B1329">
        <v>28</v>
      </c>
    </row>
    <row r="1330" spans="2:2" x14ac:dyDescent="0.45">
      <c r="B1330">
        <v>14</v>
      </c>
    </row>
    <row r="1331" spans="2:2" x14ac:dyDescent="0.45">
      <c r="B1331">
        <v>4</v>
      </c>
    </row>
    <row r="1332" spans="2:2" x14ac:dyDescent="0.45">
      <c r="B1332">
        <v>4</v>
      </c>
    </row>
    <row r="1333" spans="2:2" x14ac:dyDescent="0.45">
      <c r="B1333">
        <v>12</v>
      </c>
    </row>
    <row r="1334" spans="2:2" x14ac:dyDescent="0.45">
      <c r="B1334">
        <v>82</v>
      </c>
    </row>
    <row r="1335" spans="2:2" x14ac:dyDescent="0.45">
      <c r="B1335">
        <v>266</v>
      </c>
    </row>
    <row r="1336" spans="2:2" x14ac:dyDescent="0.45">
      <c r="B1336">
        <v>315</v>
      </c>
    </row>
    <row r="1337" spans="2:2" x14ac:dyDescent="0.45">
      <c r="B1337">
        <v>559</v>
      </c>
    </row>
    <row r="1338" spans="2:2" x14ac:dyDescent="0.45">
      <c r="B1338">
        <v>416</v>
      </c>
    </row>
    <row r="1339" spans="2:2" x14ac:dyDescent="0.45">
      <c r="B1339">
        <v>194</v>
      </c>
    </row>
    <row r="1340" spans="2:2" x14ac:dyDescent="0.45">
      <c r="B1340">
        <v>117</v>
      </c>
    </row>
    <row r="1341" spans="2:2" x14ac:dyDescent="0.45">
      <c r="B1341">
        <v>34</v>
      </c>
    </row>
    <row r="1342" spans="2:2" x14ac:dyDescent="0.45">
      <c r="B1342">
        <v>5</v>
      </c>
    </row>
    <row r="1343" spans="2:2" x14ac:dyDescent="0.45">
      <c r="B1343">
        <v>394</v>
      </c>
    </row>
    <row r="1344" spans="2:2" x14ac:dyDescent="0.45">
      <c r="B1344">
        <v>692</v>
      </c>
    </row>
    <row r="1345" spans="2:2" x14ac:dyDescent="0.45">
      <c r="B1345">
        <v>519</v>
      </c>
    </row>
    <row r="1346" spans="2:2" x14ac:dyDescent="0.45">
      <c r="B1346">
        <v>246</v>
      </c>
    </row>
    <row r="1347" spans="2:2" x14ac:dyDescent="0.45">
      <c r="B1347">
        <v>104</v>
      </c>
    </row>
    <row r="1348" spans="2:2" x14ac:dyDescent="0.45">
      <c r="B1348">
        <v>29</v>
      </c>
    </row>
    <row r="1349" spans="2:2" x14ac:dyDescent="0.45">
      <c r="B1349">
        <v>9</v>
      </c>
    </row>
    <row r="1350" spans="2:2" x14ac:dyDescent="0.45">
      <c r="B1350">
        <v>5</v>
      </c>
    </row>
    <row r="1351" spans="2:2" x14ac:dyDescent="0.45">
      <c r="B1351">
        <v>1</v>
      </c>
    </row>
    <row r="1352" spans="2:2" x14ac:dyDescent="0.45">
      <c r="B1352">
        <v>1</v>
      </c>
    </row>
    <row r="1353" spans="2:2" x14ac:dyDescent="0.45">
      <c r="B1353">
        <v>232</v>
      </c>
    </row>
    <row r="1354" spans="2:2" x14ac:dyDescent="0.45">
      <c r="B1354">
        <v>602</v>
      </c>
    </row>
    <row r="1355" spans="2:2" x14ac:dyDescent="0.45">
      <c r="B1355">
        <v>553</v>
      </c>
    </row>
    <row r="1356" spans="2:2" x14ac:dyDescent="0.45">
      <c r="B1356">
        <v>330</v>
      </c>
    </row>
    <row r="1357" spans="2:2" x14ac:dyDescent="0.45">
      <c r="B1357">
        <v>160</v>
      </c>
    </row>
    <row r="1358" spans="2:2" x14ac:dyDescent="0.45">
      <c r="B1358">
        <v>72</v>
      </c>
    </row>
    <row r="1359" spans="2:2" x14ac:dyDescent="0.45">
      <c r="B1359">
        <v>36</v>
      </c>
    </row>
    <row r="1360" spans="2:2" x14ac:dyDescent="0.45">
      <c r="B1360">
        <v>9</v>
      </c>
    </row>
    <row r="1361" spans="2:2" x14ac:dyDescent="0.45">
      <c r="B1361">
        <v>3</v>
      </c>
    </row>
    <row r="1362" spans="2:2" x14ac:dyDescent="0.45">
      <c r="B1362">
        <v>3</v>
      </c>
    </row>
    <row r="1363" spans="2:2" x14ac:dyDescent="0.45">
      <c r="B1363">
        <v>7</v>
      </c>
    </row>
    <row r="1364" spans="2:2" x14ac:dyDescent="0.45">
      <c r="B1364">
        <v>53</v>
      </c>
    </row>
    <row r="1365" spans="2:2" x14ac:dyDescent="0.45">
      <c r="B1365">
        <v>198</v>
      </c>
    </row>
    <row r="1366" spans="2:2" x14ac:dyDescent="0.45">
      <c r="B1366">
        <v>389</v>
      </c>
    </row>
    <row r="1367" spans="2:2" x14ac:dyDescent="0.45">
      <c r="B1367">
        <v>519</v>
      </c>
    </row>
    <row r="1368" spans="2:2" x14ac:dyDescent="0.45">
      <c r="B1368">
        <v>449</v>
      </c>
    </row>
    <row r="1369" spans="2:2" x14ac:dyDescent="0.45">
      <c r="B1369">
        <v>258</v>
      </c>
    </row>
    <row r="1370" spans="2:2" x14ac:dyDescent="0.45">
      <c r="B1370">
        <v>101</v>
      </c>
    </row>
    <row r="1371" spans="2:2" x14ac:dyDescent="0.45">
      <c r="B1371">
        <v>18</v>
      </c>
    </row>
    <row r="1372" spans="2:2" x14ac:dyDescent="0.45">
      <c r="B1372">
        <v>8</v>
      </c>
    </row>
    <row r="1373" spans="2:2" x14ac:dyDescent="0.45">
      <c r="B1373">
        <v>238</v>
      </c>
    </row>
    <row r="1374" spans="2:2" x14ac:dyDescent="0.45">
      <c r="B1374">
        <v>642</v>
      </c>
    </row>
    <row r="1375" spans="2:2" x14ac:dyDescent="0.45">
      <c r="B1375">
        <v>525</v>
      </c>
    </row>
    <row r="1376" spans="2:2" x14ac:dyDescent="0.45">
      <c r="B1376">
        <v>311</v>
      </c>
    </row>
    <row r="1377" spans="2:2" x14ac:dyDescent="0.45">
      <c r="B1377">
        <v>145</v>
      </c>
    </row>
    <row r="1378" spans="2:2" x14ac:dyDescent="0.45">
      <c r="B1378">
        <v>85</v>
      </c>
    </row>
    <row r="1379" spans="2:2" x14ac:dyDescent="0.45">
      <c r="B1379">
        <v>31</v>
      </c>
    </row>
    <row r="1380" spans="2:2" x14ac:dyDescent="0.45">
      <c r="B1380">
        <v>12</v>
      </c>
    </row>
    <row r="1381" spans="2:2" x14ac:dyDescent="0.45">
      <c r="B1381">
        <v>6</v>
      </c>
    </row>
    <row r="1382" spans="2:2" x14ac:dyDescent="0.45">
      <c r="B1382">
        <v>5</v>
      </c>
    </row>
    <row r="1383" spans="2:2" x14ac:dyDescent="0.45">
      <c r="B1383">
        <v>271</v>
      </c>
    </row>
    <row r="1384" spans="2:2" x14ac:dyDescent="0.45">
      <c r="B1384">
        <v>564</v>
      </c>
    </row>
    <row r="1385" spans="2:2" x14ac:dyDescent="0.45">
      <c r="B1385">
        <v>491</v>
      </c>
    </row>
    <row r="1386" spans="2:2" x14ac:dyDescent="0.45">
      <c r="B1386">
        <v>363</v>
      </c>
    </row>
    <row r="1387" spans="2:2" x14ac:dyDescent="0.45">
      <c r="B1387">
        <v>177</v>
      </c>
    </row>
    <row r="1388" spans="2:2" x14ac:dyDescent="0.45">
      <c r="B1388">
        <v>69</v>
      </c>
    </row>
    <row r="1389" spans="2:2" x14ac:dyDescent="0.45">
      <c r="B1389">
        <v>36</v>
      </c>
    </row>
    <row r="1390" spans="2:2" x14ac:dyDescent="0.45">
      <c r="B1390">
        <v>21</v>
      </c>
    </row>
    <row r="1391" spans="2:2" x14ac:dyDescent="0.45">
      <c r="B1391">
        <v>5</v>
      </c>
    </row>
    <row r="1392" spans="2:2" x14ac:dyDescent="0.45">
      <c r="B1392">
        <v>3</v>
      </c>
    </row>
    <row r="1393" spans="2:2" x14ac:dyDescent="0.45">
      <c r="B1393">
        <v>20</v>
      </c>
    </row>
    <row r="1394" spans="2:2" x14ac:dyDescent="0.45">
      <c r="B1394">
        <v>108</v>
      </c>
    </row>
    <row r="1395" spans="2:2" x14ac:dyDescent="0.45">
      <c r="B1395">
        <v>284</v>
      </c>
    </row>
    <row r="1396" spans="2:2" x14ac:dyDescent="0.45">
      <c r="B1396">
        <v>452</v>
      </c>
    </row>
    <row r="1397" spans="2:2" x14ac:dyDescent="0.45">
      <c r="B1397">
        <v>524</v>
      </c>
    </row>
    <row r="1398" spans="2:2" x14ac:dyDescent="0.45">
      <c r="B1398">
        <v>362</v>
      </c>
    </row>
    <row r="1399" spans="2:2" x14ac:dyDescent="0.45">
      <c r="B1399">
        <v>163</v>
      </c>
    </row>
    <row r="1400" spans="2:2" x14ac:dyDescent="0.45">
      <c r="B1400">
        <v>72</v>
      </c>
    </row>
    <row r="1401" spans="2:2" x14ac:dyDescent="0.45">
      <c r="B1401">
        <v>14</v>
      </c>
    </row>
    <row r="1402" spans="2:2" x14ac:dyDescent="0.45">
      <c r="B1402">
        <v>1</v>
      </c>
    </row>
    <row r="1403" spans="2:2" x14ac:dyDescent="0.45">
      <c r="B1403">
        <v>330</v>
      </c>
    </row>
    <row r="1404" spans="2:2" x14ac:dyDescent="0.45">
      <c r="B1404">
        <v>636</v>
      </c>
    </row>
    <row r="1405" spans="2:2" x14ac:dyDescent="0.45">
      <c r="B1405">
        <v>520</v>
      </c>
    </row>
    <row r="1406" spans="2:2" x14ac:dyDescent="0.45">
      <c r="B1406">
        <v>273</v>
      </c>
    </row>
    <row r="1407" spans="2:2" x14ac:dyDescent="0.45">
      <c r="B1407">
        <v>124</v>
      </c>
    </row>
    <row r="1408" spans="2:2" x14ac:dyDescent="0.45">
      <c r="B1408">
        <v>68</v>
      </c>
    </row>
    <row r="1409" spans="2:2" x14ac:dyDescent="0.45">
      <c r="B1409">
        <v>28</v>
      </c>
    </row>
    <row r="1410" spans="2:2" x14ac:dyDescent="0.45">
      <c r="B1410">
        <v>9</v>
      </c>
    </row>
    <row r="1411" spans="2:2" x14ac:dyDescent="0.45">
      <c r="B1411">
        <v>7</v>
      </c>
    </row>
    <row r="1412" spans="2:2" x14ac:dyDescent="0.45">
      <c r="B1412">
        <v>5</v>
      </c>
    </row>
    <row r="1413" spans="2:2" x14ac:dyDescent="0.45">
      <c r="B1413">
        <v>246</v>
      </c>
    </row>
    <row r="1414" spans="2:2" x14ac:dyDescent="0.45">
      <c r="B1414">
        <v>584</v>
      </c>
    </row>
    <row r="1415" spans="2:2" x14ac:dyDescent="0.45">
      <c r="B1415">
        <v>537</v>
      </c>
    </row>
    <row r="1416" spans="2:2" x14ac:dyDescent="0.45">
      <c r="B1416">
        <v>354</v>
      </c>
    </row>
    <row r="1417" spans="2:2" x14ac:dyDescent="0.45">
      <c r="B1417">
        <v>156</v>
      </c>
    </row>
    <row r="1418" spans="2:2" x14ac:dyDescent="0.45">
      <c r="B1418">
        <v>73</v>
      </c>
    </row>
    <row r="1419" spans="2:2" x14ac:dyDescent="0.45">
      <c r="B1419">
        <v>35</v>
      </c>
    </row>
    <row r="1420" spans="2:2" x14ac:dyDescent="0.45">
      <c r="B1420">
        <v>10</v>
      </c>
    </row>
    <row r="1421" spans="2:2" x14ac:dyDescent="0.45">
      <c r="B1421">
        <v>4</v>
      </c>
    </row>
    <row r="1422" spans="2:2" x14ac:dyDescent="0.45">
      <c r="B1422">
        <v>1</v>
      </c>
    </row>
    <row r="1423" spans="2:2" x14ac:dyDescent="0.45">
      <c r="B1423">
        <v>7</v>
      </c>
    </row>
    <row r="1424" spans="2:2" x14ac:dyDescent="0.45">
      <c r="B1424">
        <v>42</v>
      </c>
    </row>
    <row r="1425" spans="2:2" x14ac:dyDescent="0.45">
      <c r="B1425">
        <v>262</v>
      </c>
    </row>
    <row r="1426" spans="2:2" x14ac:dyDescent="0.45">
      <c r="B1426">
        <v>431</v>
      </c>
    </row>
    <row r="1427" spans="2:2" x14ac:dyDescent="0.45">
      <c r="B1427">
        <v>627</v>
      </c>
    </row>
    <row r="1428" spans="2:2" x14ac:dyDescent="0.45">
      <c r="B1428">
        <v>378</v>
      </c>
    </row>
    <row r="1429" spans="2:2" x14ac:dyDescent="0.45">
      <c r="B1429">
        <v>176</v>
      </c>
    </row>
    <row r="1430" spans="2:2" x14ac:dyDescent="0.45">
      <c r="B1430">
        <v>63</v>
      </c>
    </row>
    <row r="1431" spans="2:2" x14ac:dyDescent="0.45">
      <c r="B1431">
        <v>12</v>
      </c>
    </row>
    <row r="1432" spans="2:2" x14ac:dyDescent="0.45">
      <c r="B1432">
        <v>2</v>
      </c>
    </row>
    <row r="1433" spans="2:2" x14ac:dyDescent="0.45">
      <c r="B1433">
        <v>273</v>
      </c>
    </row>
    <row r="1434" spans="2:2" x14ac:dyDescent="0.45">
      <c r="B1434">
        <v>655</v>
      </c>
    </row>
    <row r="1435" spans="2:2" x14ac:dyDescent="0.45">
      <c r="B1435">
        <v>500</v>
      </c>
    </row>
    <row r="1436" spans="2:2" x14ac:dyDescent="0.45">
      <c r="B1436">
        <v>309</v>
      </c>
    </row>
    <row r="1437" spans="2:2" x14ac:dyDescent="0.45">
      <c r="B1437">
        <v>154</v>
      </c>
    </row>
    <row r="1438" spans="2:2" x14ac:dyDescent="0.45">
      <c r="B1438">
        <v>70</v>
      </c>
    </row>
    <row r="1439" spans="2:2" x14ac:dyDescent="0.45">
      <c r="B1439">
        <v>25</v>
      </c>
    </row>
    <row r="1440" spans="2:2" x14ac:dyDescent="0.45">
      <c r="B1440">
        <v>5</v>
      </c>
    </row>
    <row r="1441" spans="2:2" x14ac:dyDescent="0.45">
      <c r="B1441">
        <v>7</v>
      </c>
    </row>
    <row r="1442" spans="2:2" x14ac:dyDescent="0.45">
      <c r="B1442">
        <v>2</v>
      </c>
    </row>
    <row r="1443" spans="2:2" x14ac:dyDescent="0.45">
      <c r="B1443">
        <v>264</v>
      </c>
    </row>
    <row r="1444" spans="2:2" x14ac:dyDescent="0.45">
      <c r="B1444">
        <v>537</v>
      </c>
    </row>
    <row r="1445" spans="2:2" x14ac:dyDescent="0.45">
      <c r="B1445">
        <v>513</v>
      </c>
    </row>
    <row r="1446" spans="2:2" x14ac:dyDescent="0.45">
      <c r="B1446">
        <v>350</v>
      </c>
    </row>
    <row r="1447" spans="2:2" x14ac:dyDescent="0.45">
      <c r="B1447">
        <v>192</v>
      </c>
    </row>
    <row r="1448" spans="2:2" x14ac:dyDescent="0.45">
      <c r="B1448">
        <v>76</v>
      </c>
    </row>
    <row r="1449" spans="2:2" x14ac:dyDescent="0.45">
      <c r="B1449">
        <v>39</v>
      </c>
    </row>
    <row r="1450" spans="2:2" x14ac:dyDescent="0.45">
      <c r="B1450">
        <v>17</v>
      </c>
    </row>
    <row r="1451" spans="2:2" x14ac:dyDescent="0.45">
      <c r="B1451">
        <v>9</v>
      </c>
    </row>
    <row r="1452" spans="2:2" x14ac:dyDescent="0.45">
      <c r="B1452">
        <v>3</v>
      </c>
    </row>
    <row r="1453" spans="2:2" x14ac:dyDescent="0.45">
      <c r="B1453">
        <v>4</v>
      </c>
    </row>
    <row r="1454" spans="2:2" x14ac:dyDescent="0.45">
      <c r="B1454">
        <v>31</v>
      </c>
    </row>
    <row r="1455" spans="2:2" x14ac:dyDescent="0.45">
      <c r="B1455">
        <v>185</v>
      </c>
    </row>
    <row r="1456" spans="2:2" x14ac:dyDescent="0.45">
      <c r="B1456">
        <v>368</v>
      </c>
    </row>
    <row r="1457" spans="2:2" x14ac:dyDescent="0.45">
      <c r="B1457">
        <v>646</v>
      </c>
    </row>
    <row r="1458" spans="2:2" x14ac:dyDescent="0.45">
      <c r="B1458">
        <v>426</v>
      </c>
    </row>
    <row r="1459" spans="2:2" x14ac:dyDescent="0.45">
      <c r="B1459">
        <v>227</v>
      </c>
    </row>
    <row r="1460" spans="2:2" x14ac:dyDescent="0.45">
      <c r="B1460">
        <v>101</v>
      </c>
    </row>
    <row r="1461" spans="2:2" x14ac:dyDescent="0.45">
      <c r="B1461">
        <v>10</v>
      </c>
    </row>
    <row r="1462" spans="2:2" x14ac:dyDescent="0.45">
      <c r="B1462">
        <v>2</v>
      </c>
    </row>
    <row r="1463" spans="2:2" x14ac:dyDescent="0.45">
      <c r="B1463">
        <v>437</v>
      </c>
    </row>
    <row r="1464" spans="2:2" x14ac:dyDescent="0.45">
      <c r="B1464">
        <v>808</v>
      </c>
    </row>
    <row r="1465" spans="2:2" x14ac:dyDescent="0.45">
      <c r="B1465">
        <v>460</v>
      </c>
    </row>
    <row r="1466" spans="2:2" x14ac:dyDescent="0.45">
      <c r="B1466">
        <v>202</v>
      </c>
    </row>
    <row r="1467" spans="2:2" x14ac:dyDescent="0.45">
      <c r="B1467">
        <v>71</v>
      </c>
    </row>
    <row r="1468" spans="2:2" x14ac:dyDescent="0.45">
      <c r="B1468">
        <v>15</v>
      </c>
    </row>
    <row r="1469" spans="2:2" x14ac:dyDescent="0.45">
      <c r="B1469">
        <v>4</v>
      </c>
    </row>
    <row r="1470" spans="2:2" x14ac:dyDescent="0.45">
      <c r="B1470">
        <v>1</v>
      </c>
    </row>
    <row r="1471" spans="2:2" x14ac:dyDescent="0.45">
      <c r="B1471">
        <v>0</v>
      </c>
    </row>
    <row r="1472" spans="2:2" x14ac:dyDescent="0.45">
      <c r="B1472">
        <v>2</v>
      </c>
    </row>
    <row r="1473" spans="2:2" x14ac:dyDescent="0.45">
      <c r="B1473">
        <v>295</v>
      </c>
    </row>
    <row r="1474" spans="2:2" x14ac:dyDescent="0.45">
      <c r="B1474">
        <v>666</v>
      </c>
    </row>
    <row r="1475" spans="2:2" x14ac:dyDescent="0.45">
      <c r="B1475">
        <v>512</v>
      </c>
    </row>
    <row r="1476" spans="2:2" x14ac:dyDescent="0.45">
      <c r="B1476">
        <v>277</v>
      </c>
    </row>
    <row r="1477" spans="2:2" x14ac:dyDescent="0.45">
      <c r="B1477">
        <v>155</v>
      </c>
    </row>
    <row r="1478" spans="2:2" x14ac:dyDescent="0.45">
      <c r="B1478">
        <v>59</v>
      </c>
    </row>
    <row r="1479" spans="2:2" x14ac:dyDescent="0.45">
      <c r="B1479">
        <v>23</v>
      </c>
    </row>
    <row r="1480" spans="2:2" x14ac:dyDescent="0.45">
      <c r="B1480">
        <v>10</v>
      </c>
    </row>
    <row r="1481" spans="2:2" x14ac:dyDescent="0.45">
      <c r="B1481">
        <v>1</v>
      </c>
    </row>
    <row r="1482" spans="2:2" x14ac:dyDescent="0.45">
      <c r="B1482">
        <v>2</v>
      </c>
    </row>
    <row r="1483" spans="2:2" x14ac:dyDescent="0.45">
      <c r="B1483">
        <v>15</v>
      </c>
    </row>
    <row r="1484" spans="2:2" x14ac:dyDescent="0.45">
      <c r="B1484">
        <v>88</v>
      </c>
    </row>
    <row r="1485" spans="2:2" x14ac:dyDescent="0.45">
      <c r="B1485">
        <v>266</v>
      </c>
    </row>
    <row r="1486" spans="2:2" x14ac:dyDescent="0.45">
      <c r="B1486">
        <v>462</v>
      </c>
    </row>
    <row r="1487" spans="2:2" x14ac:dyDescent="0.45">
      <c r="B1487">
        <v>543</v>
      </c>
    </row>
    <row r="1488" spans="2:2" x14ac:dyDescent="0.45">
      <c r="B1488">
        <v>300</v>
      </c>
    </row>
    <row r="1489" spans="2:2" x14ac:dyDescent="0.45">
      <c r="B1489">
        <v>214</v>
      </c>
    </row>
    <row r="1490" spans="2:2" x14ac:dyDescent="0.45">
      <c r="B1490">
        <v>84</v>
      </c>
    </row>
    <row r="1491" spans="2:2" x14ac:dyDescent="0.45">
      <c r="B1491">
        <v>22</v>
      </c>
    </row>
    <row r="1492" spans="2:2" x14ac:dyDescent="0.45">
      <c r="B1492">
        <v>6</v>
      </c>
    </row>
    <row r="1493" spans="2:2" x14ac:dyDescent="0.45">
      <c r="B1493">
        <v>251</v>
      </c>
    </row>
    <row r="1494" spans="2:2" x14ac:dyDescent="0.45">
      <c r="B1494">
        <v>602</v>
      </c>
    </row>
    <row r="1495" spans="2:2" x14ac:dyDescent="0.45">
      <c r="B1495">
        <v>536</v>
      </c>
    </row>
    <row r="1496" spans="2:2" x14ac:dyDescent="0.45">
      <c r="B1496">
        <v>306</v>
      </c>
    </row>
    <row r="1497" spans="2:2" x14ac:dyDescent="0.45">
      <c r="B1497">
        <v>183</v>
      </c>
    </row>
    <row r="1498" spans="2:2" x14ac:dyDescent="0.45">
      <c r="B1498">
        <v>64</v>
      </c>
    </row>
    <row r="1499" spans="2:2" x14ac:dyDescent="0.45">
      <c r="B1499">
        <v>28</v>
      </c>
    </row>
    <row r="1500" spans="2:2" x14ac:dyDescent="0.45">
      <c r="B1500">
        <v>15</v>
      </c>
    </row>
    <row r="1501" spans="2:2" x14ac:dyDescent="0.45">
      <c r="B1501">
        <v>12</v>
      </c>
    </row>
    <row r="1502" spans="2:2" x14ac:dyDescent="0.45">
      <c r="B1502">
        <v>3</v>
      </c>
    </row>
    <row r="1503" spans="2:2" x14ac:dyDescent="0.45">
      <c r="B1503">
        <v>227</v>
      </c>
    </row>
    <row r="1504" spans="2:2" x14ac:dyDescent="0.45">
      <c r="B1504">
        <v>574</v>
      </c>
    </row>
    <row r="1505" spans="2:2" x14ac:dyDescent="0.45">
      <c r="B1505">
        <v>539</v>
      </c>
    </row>
    <row r="1506" spans="2:2" x14ac:dyDescent="0.45">
      <c r="B1506">
        <v>336</v>
      </c>
    </row>
    <row r="1507" spans="2:2" x14ac:dyDescent="0.45">
      <c r="B1507">
        <v>168</v>
      </c>
    </row>
    <row r="1508" spans="2:2" x14ac:dyDescent="0.45">
      <c r="B1508">
        <v>91</v>
      </c>
    </row>
    <row r="1509" spans="2:2" x14ac:dyDescent="0.45">
      <c r="B1509">
        <v>40</v>
      </c>
    </row>
    <row r="1510" spans="2:2" x14ac:dyDescent="0.45">
      <c r="B1510">
        <v>16</v>
      </c>
    </row>
    <row r="1511" spans="2:2" x14ac:dyDescent="0.45">
      <c r="B1511">
        <v>7</v>
      </c>
    </row>
    <row r="1512" spans="2:2" x14ac:dyDescent="0.45">
      <c r="B1512">
        <v>2</v>
      </c>
    </row>
    <row r="1513" spans="2:2" x14ac:dyDescent="0.45">
      <c r="B1513">
        <v>15</v>
      </c>
    </row>
    <row r="1514" spans="2:2" x14ac:dyDescent="0.45">
      <c r="B1514">
        <v>75</v>
      </c>
    </row>
    <row r="1515" spans="2:2" x14ac:dyDescent="0.45">
      <c r="B1515">
        <v>195</v>
      </c>
    </row>
    <row r="1516" spans="2:2" x14ac:dyDescent="0.45">
      <c r="B1516">
        <v>397</v>
      </c>
    </row>
    <row r="1517" spans="2:2" x14ac:dyDescent="0.45">
      <c r="B1517">
        <v>472</v>
      </c>
    </row>
    <row r="1518" spans="2:2" x14ac:dyDescent="0.45">
      <c r="B1518">
        <v>455</v>
      </c>
    </row>
    <row r="1519" spans="2:2" x14ac:dyDescent="0.45">
      <c r="B1519">
        <v>266</v>
      </c>
    </row>
    <row r="1520" spans="2:2" x14ac:dyDescent="0.45">
      <c r="B1520">
        <v>91</v>
      </c>
    </row>
    <row r="1521" spans="2:2" x14ac:dyDescent="0.45">
      <c r="B1521">
        <v>33</v>
      </c>
    </row>
    <row r="1522" spans="2:2" x14ac:dyDescent="0.45">
      <c r="B1522">
        <v>1</v>
      </c>
    </row>
    <row r="1523" spans="2:2" x14ac:dyDescent="0.45">
      <c r="B1523">
        <v>7</v>
      </c>
    </row>
    <row r="1524" spans="2:2" x14ac:dyDescent="0.45">
      <c r="B1524">
        <v>33</v>
      </c>
    </row>
    <row r="1525" spans="2:2" x14ac:dyDescent="0.45">
      <c r="B1525">
        <v>166</v>
      </c>
    </row>
    <row r="1526" spans="2:2" x14ac:dyDescent="0.45">
      <c r="B1526">
        <v>357</v>
      </c>
    </row>
    <row r="1527" spans="2:2" x14ac:dyDescent="0.45">
      <c r="B1527">
        <v>581</v>
      </c>
    </row>
    <row r="1528" spans="2:2" x14ac:dyDescent="0.45">
      <c r="B1528">
        <v>432</v>
      </c>
    </row>
    <row r="1529" spans="2:2" x14ac:dyDescent="0.45">
      <c r="B1529">
        <v>288</v>
      </c>
    </row>
    <row r="1530" spans="2:2" x14ac:dyDescent="0.45">
      <c r="B1530">
        <v>97</v>
      </c>
    </row>
    <row r="1531" spans="2:2" x14ac:dyDescent="0.45">
      <c r="B1531">
        <v>37</v>
      </c>
    </row>
    <row r="1532" spans="2:2" x14ac:dyDescent="0.45">
      <c r="B1532">
        <v>2</v>
      </c>
    </row>
    <row r="1533" spans="2:2" x14ac:dyDescent="0.45">
      <c r="B1533">
        <v>294</v>
      </c>
    </row>
    <row r="1534" spans="2:2" x14ac:dyDescent="0.45">
      <c r="B1534">
        <v>637</v>
      </c>
    </row>
    <row r="1535" spans="2:2" x14ac:dyDescent="0.45">
      <c r="B1535">
        <v>527</v>
      </c>
    </row>
    <row r="1536" spans="2:2" x14ac:dyDescent="0.45">
      <c r="B1536">
        <v>312</v>
      </c>
    </row>
    <row r="1537" spans="2:2" x14ac:dyDescent="0.45">
      <c r="B1537">
        <v>138</v>
      </c>
    </row>
    <row r="1538" spans="2:2" x14ac:dyDescent="0.45">
      <c r="B1538">
        <v>57</v>
      </c>
    </row>
    <row r="1539" spans="2:2" x14ac:dyDescent="0.45">
      <c r="B1539">
        <v>21</v>
      </c>
    </row>
    <row r="1540" spans="2:2" x14ac:dyDescent="0.45">
      <c r="B1540">
        <v>12</v>
      </c>
    </row>
    <row r="1541" spans="2:2" x14ac:dyDescent="0.45">
      <c r="B1541">
        <v>1</v>
      </c>
    </row>
    <row r="1542" spans="2:2" x14ac:dyDescent="0.45">
      <c r="B154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DC9129A2-748F-4A14-96D5-EF0F5903CE0D}">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166</vt:i4>
      </vt:variant>
    </vt:vector>
  </HeadingPairs>
  <TitlesOfParts>
    <vt:vector size="173" baseType="lpstr">
      <vt:lpstr>About</vt:lpstr>
      <vt:lpstr>Inputs</vt:lpstr>
      <vt:lpstr>Weeks</vt:lpstr>
      <vt:lpstr>Results</vt:lpstr>
      <vt:lpstr>ModelRiskDSN</vt:lpstr>
      <vt:lpstr>ModelRiskSYS1</vt:lpstr>
      <vt:lpstr>ModelRiskCharts</vt:lpstr>
      <vt:lpstr>Checks</vt:lpstr>
      <vt:lpstr>ExpCalls</vt:lpstr>
      <vt:lpstr>ExpTotal</vt:lpstr>
      <vt:lpstr>Gradient</vt:lpstr>
      <vt:lpstr>Intercept</vt:lpstr>
      <vt:lpstr>Level</vt:lpstr>
      <vt:lpstr>Pois_1</vt:lpstr>
      <vt:lpstr>Pois_10</vt:lpstr>
      <vt:lpstr>Pois_11</vt:lpstr>
      <vt:lpstr>Pois_12</vt:lpstr>
      <vt:lpstr>Pois_13</vt:lpstr>
      <vt:lpstr>Pois_14</vt:lpstr>
      <vt:lpstr>Pois_15</vt:lpstr>
      <vt:lpstr>Pois_16</vt:lpstr>
      <vt:lpstr>Pois_17</vt:lpstr>
      <vt:lpstr>Pois_18</vt:lpstr>
      <vt:lpstr>Pois_19</vt:lpstr>
      <vt:lpstr>Pois_2</vt:lpstr>
      <vt:lpstr>Pois_20</vt:lpstr>
      <vt:lpstr>Pois_21</vt:lpstr>
      <vt:lpstr>Pois_22</vt:lpstr>
      <vt:lpstr>Pois_23</vt:lpstr>
      <vt:lpstr>Pois_24</vt:lpstr>
      <vt:lpstr>Pois_25</vt:lpstr>
      <vt:lpstr>Pois_26</vt:lpstr>
      <vt:lpstr>Pois_27</vt:lpstr>
      <vt:lpstr>Pois_28</vt:lpstr>
      <vt:lpstr>Pois_29</vt:lpstr>
      <vt:lpstr>Pois_3</vt:lpstr>
      <vt:lpstr>Pois_30</vt:lpstr>
      <vt:lpstr>Pois_31</vt:lpstr>
      <vt:lpstr>Pois_32</vt:lpstr>
      <vt:lpstr>Pois_33</vt:lpstr>
      <vt:lpstr>Pois_34</vt:lpstr>
      <vt:lpstr>Pois_35</vt:lpstr>
      <vt:lpstr>Pois_36</vt:lpstr>
      <vt:lpstr>Pois_37</vt:lpstr>
      <vt:lpstr>Pois_38</vt:lpstr>
      <vt:lpstr>Pois_39</vt:lpstr>
      <vt:lpstr>Pois_4</vt:lpstr>
      <vt:lpstr>Pois_40</vt:lpstr>
      <vt:lpstr>Pois_41</vt:lpstr>
      <vt:lpstr>Pois_42</vt:lpstr>
      <vt:lpstr>Pois_43</vt:lpstr>
      <vt:lpstr>Pois_44</vt:lpstr>
      <vt:lpstr>Pois_45</vt:lpstr>
      <vt:lpstr>Pois_46</vt:lpstr>
      <vt:lpstr>Pois_47</vt:lpstr>
      <vt:lpstr>Pois_48</vt:lpstr>
      <vt:lpstr>Pois_49</vt:lpstr>
      <vt:lpstr>Pois_5</vt:lpstr>
      <vt:lpstr>Pois_50</vt:lpstr>
      <vt:lpstr>Pois_6</vt:lpstr>
      <vt:lpstr>Pois_7</vt:lpstr>
      <vt:lpstr>Pois_8</vt:lpstr>
      <vt:lpstr>Pois_9</vt:lpstr>
      <vt:lpstr>PolS_1</vt:lpstr>
      <vt:lpstr>PolS_10</vt:lpstr>
      <vt:lpstr>PolS_11</vt:lpstr>
      <vt:lpstr>PolS_12</vt:lpstr>
      <vt:lpstr>PolS_13</vt:lpstr>
      <vt:lpstr>PolS_14</vt:lpstr>
      <vt:lpstr>PolS_15</vt:lpstr>
      <vt:lpstr>PolS_16</vt:lpstr>
      <vt:lpstr>PolS_17</vt:lpstr>
      <vt:lpstr>PolS_18</vt:lpstr>
      <vt:lpstr>PolS_19</vt:lpstr>
      <vt:lpstr>PolS_2</vt:lpstr>
      <vt:lpstr>PolS_20</vt:lpstr>
      <vt:lpstr>PolS_21</vt:lpstr>
      <vt:lpstr>PolS_22</vt:lpstr>
      <vt:lpstr>PolS_23</vt:lpstr>
      <vt:lpstr>PolS_24</vt:lpstr>
      <vt:lpstr>PolS_25</vt:lpstr>
      <vt:lpstr>PolS_26</vt:lpstr>
      <vt:lpstr>PolS_27</vt:lpstr>
      <vt:lpstr>PolS_28</vt:lpstr>
      <vt:lpstr>PolS_29</vt:lpstr>
      <vt:lpstr>PolS_3</vt:lpstr>
      <vt:lpstr>PolS_30</vt:lpstr>
      <vt:lpstr>PolS_31</vt:lpstr>
      <vt:lpstr>PolS_32</vt:lpstr>
      <vt:lpstr>PolS_33</vt:lpstr>
      <vt:lpstr>PolS_34</vt:lpstr>
      <vt:lpstr>PolS_35</vt:lpstr>
      <vt:lpstr>PolS_36</vt:lpstr>
      <vt:lpstr>PolS_37</vt:lpstr>
      <vt:lpstr>PolS_38</vt:lpstr>
      <vt:lpstr>PolS_39</vt:lpstr>
      <vt:lpstr>PolS_4</vt:lpstr>
      <vt:lpstr>PolS_40</vt:lpstr>
      <vt:lpstr>PolS_41</vt:lpstr>
      <vt:lpstr>PolS_42</vt:lpstr>
      <vt:lpstr>PolS_43</vt:lpstr>
      <vt:lpstr>PolS_44</vt:lpstr>
      <vt:lpstr>PolS_45</vt:lpstr>
      <vt:lpstr>PolS_46</vt:lpstr>
      <vt:lpstr>PolS_47</vt:lpstr>
      <vt:lpstr>PolS_48</vt:lpstr>
      <vt:lpstr>PolS_49</vt:lpstr>
      <vt:lpstr>PolS_5</vt:lpstr>
      <vt:lpstr>PolS_50</vt:lpstr>
      <vt:lpstr>PolS_6</vt:lpstr>
      <vt:lpstr>PolS_7</vt:lpstr>
      <vt:lpstr>PolS_8</vt:lpstr>
      <vt:lpstr>PolS_9</vt:lpstr>
      <vt:lpstr>PolW_1</vt:lpstr>
      <vt:lpstr>PolW_10</vt:lpstr>
      <vt:lpstr>PolW_11</vt:lpstr>
      <vt:lpstr>PolW_12</vt:lpstr>
      <vt:lpstr>PolW_13</vt:lpstr>
      <vt:lpstr>PolW_14</vt:lpstr>
      <vt:lpstr>PolW_15</vt:lpstr>
      <vt:lpstr>PolW_16</vt:lpstr>
      <vt:lpstr>PolW_17</vt:lpstr>
      <vt:lpstr>PolW_18</vt:lpstr>
      <vt:lpstr>PolW_19</vt:lpstr>
      <vt:lpstr>PolW_2</vt:lpstr>
      <vt:lpstr>PolW_20</vt:lpstr>
      <vt:lpstr>PolW_21</vt:lpstr>
      <vt:lpstr>PolW_22</vt:lpstr>
      <vt:lpstr>PolW_23</vt:lpstr>
      <vt:lpstr>PolW_24</vt:lpstr>
      <vt:lpstr>PolW_25</vt:lpstr>
      <vt:lpstr>PolW_26</vt:lpstr>
      <vt:lpstr>PolW_27</vt:lpstr>
      <vt:lpstr>PolW_28</vt:lpstr>
      <vt:lpstr>PolW_29</vt:lpstr>
      <vt:lpstr>PolW_3</vt:lpstr>
      <vt:lpstr>PolW_30</vt:lpstr>
      <vt:lpstr>PolW_31</vt:lpstr>
      <vt:lpstr>PolW_32</vt:lpstr>
      <vt:lpstr>PolW_33</vt:lpstr>
      <vt:lpstr>PolW_34</vt:lpstr>
      <vt:lpstr>PolW_35</vt:lpstr>
      <vt:lpstr>PolW_36</vt:lpstr>
      <vt:lpstr>PolW_37</vt:lpstr>
      <vt:lpstr>PolW_38</vt:lpstr>
      <vt:lpstr>PolW_39</vt:lpstr>
      <vt:lpstr>PolW_4</vt:lpstr>
      <vt:lpstr>PolW_40</vt:lpstr>
      <vt:lpstr>PolW_41</vt:lpstr>
      <vt:lpstr>PolW_42</vt:lpstr>
      <vt:lpstr>PolW_43</vt:lpstr>
      <vt:lpstr>PolW_44</vt:lpstr>
      <vt:lpstr>PolW_45</vt:lpstr>
      <vt:lpstr>PolW_46</vt:lpstr>
      <vt:lpstr>PolW_47</vt:lpstr>
      <vt:lpstr>PolW_48</vt:lpstr>
      <vt:lpstr>PolW_49</vt:lpstr>
      <vt:lpstr>PolW_5</vt:lpstr>
      <vt:lpstr>PolW_50</vt:lpstr>
      <vt:lpstr>PolW_6</vt:lpstr>
      <vt:lpstr>PolW_7</vt:lpstr>
      <vt:lpstr>PolW_8</vt:lpstr>
      <vt:lpstr>PolW_9</vt:lpstr>
      <vt:lpstr>PolyaH</vt:lpstr>
      <vt:lpstr>Results!Print_Area</vt:lpstr>
      <vt:lpstr>Inputs!Print_Titles</vt:lpstr>
      <vt:lpstr>Results!Print_Titles</vt:lpstr>
      <vt:lpstr>SD_Pois</vt:lpstr>
      <vt:lpstr>SD_PolS</vt:lpstr>
      <vt:lpstr>SD_PolW</vt:lpstr>
      <vt:lpstr>TotPois</vt:lpstr>
      <vt:lpstr>TotPolS</vt:lpstr>
      <vt:lpstr>TotPolW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GU-09 Event Counts over Time: Poisson and Pólya</dc:title>
  <dc:subject>ModelRisk industry example library — General use</dc:subject>
  <dc:creator>Vose Software</dc:creator>
  <cp:keywords>ModelRisk; Monte Carlo; General use</cp:keywords>
  <dc:description>Weekly house calls three ways: Poisson, Pólya week by week, and Pólya with one level for the year.</dc:description>
  <cp:lastModifiedBy>Timour Koupeev</cp:lastModifiedBy>
  <cp:lastPrinted>2026-10-07T13:25:10Z</cp:lastPrinted>
  <dcterms:created xsi:type="dcterms:W3CDTF">2026-10-07T13:23:22Z</dcterms:created>
  <dcterms:modified xsi:type="dcterms:W3CDTF">2026-10-07T13:25:13Z</dcterms:modified>
</cp:coreProperties>
</file>