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General use\"/>
    </mc:Choice>
  </mc:AlternateContent>
  <xr:revisionPtr revIDLastSave="0" documentId="8_{7DE6F1B0-AF61-4E81-B459-AD2FA1540AB8}"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Weeks" sheetId="3" r:id="rId3"/>
    <sheet name="Results" sheetId="4" r:id="rId4"/>
    <sheet name="ModelRiskDSN" sheetId="5" state="hidden" r:id="rId5"/>
    <sheet name="ModelRiskSYS1" sheetId="6" state="hidden" r:id="rId6"/>
    <sheet name="ModelRiskCharts" sheetId="7" state="hidden" r:id="rId7"/>
  </sheets>
  <definedNames>
    <definedName name="Avoided">Weeks!$E$76</definedName>
    <definedName name="Checks">Weeks!$E$80:$E$81</definedName>
    <definedName name="Crash_1">Weeks!$G$17</definedName>
    <definedName name="Crash_10">Weeks!$G$26</definedName>
    <definedName name="Crash_11">Weeks!$G$27</definedName>
    <definedName name="Crash_12">Weeks!$G$28</definedName>
    <definedName name="Crash_13">Weeks!$G$29</definedName>
    <definedName name="Crash_14">Weeks!$G$30</definedName>
    <definedName name="Crash_15">Weeks!$G$31</definedName>
    <definedName name="Crash_16">Weeks!$G$32</definedName>
    <definedName name="Crash_17">Weeks!$G$33</definedName>
    <definedName name="Crash_18">Weeks!$G$34</definedName>
    <definedName name="Crash_19">Weeks!$G$35</definedName>
    <definedName name="Crash_2">Weeks!$G$18</definedName>
    <definedName name="Crash_20">Weeks!$G$36</definedName>
    <definedName name="Crash_21">Weeks!$G$37</definedName>
    <definedName name="Crash_22">Weeks!$G$38</definedName>
    <definedName name="Crash_23">Weeks!$G$39</definedName>
    <definedName name="Crash_24">Weeks!$G$40</definedName>
    <definedName name="Crash_25">Weeks!$G$41</definedName>
    <definedName name="Crash_26">Weeks!$G$42</definedName>
    <definedName name="Crash_27">Weeks!$G$43</definedName>
    <definedName name="Crash_28">Weeks!$G$44</definedName>
    <definedName name="Crash_29">Weeks!$G$45</definedName>
    <definedName name="Crash_3">Weeks!$G$19</definedName>
    <definedName name="Crash_30">Weeks!$G$46</definedName>
    <definedName name="Crash_31">Weeks!$G$47</definedName>
    <definedName name="Crash_32">Weeks!$G$48</definedName>
    <definedName name="Crash_33">Weeks!$G$49</definedName>
    <definedName name="Crash_34">Weeks!$G$50</definedName>
    <definedName name="Crash_35">Weeks!$G$51</definedName>
    <definedName name="Crash_36">Weeks!$G$52</definedName>
    <definedName name="Crash_37">Weeks!$G$53</definedName>
    <definedName name="Crash_38">Weeks!$G$54</definedName>
    <definedName name="Crash_39">Weeks!$G$55</definedName>
    <definedName name="Crash_4">Weeks!$G$20</definedName>
    <definedName name="Crash_40">Weeks!$G$56</definedName>
    <definedName name="Crash_41">Weeks!$G$57</definedName>
    <definedName name="Crash_42">Weeks!$G$58</definedName>
    <definedName name="Crash_43">Weeks!$G$59</definedName>
    <definedName name="Crash_44">Weeks!$G$60</definedName>
    <definedName name="Crash_45">Weeks!$G$61</definedName>
    <definedName name="Crash_46">Weeks!$G$62</definedName>
    <definedName name="Crash_47">Weeks!$G$63</definedName>
    <definedName name="Crash_48">Weeks!$G$64</definedName>
    <definedName name="Crash_49">Weeks!$G$65</definedName>
    <definedName name="Crash_5">Weeks!$G$21</definedName>
    <definedName name="Crash_50">Weeks!$G$66</definedName>
    <definedName name="Crash_51">Weeks!$G$67</definedName>
    <definedName name="Crash_52">Weeks!$G$68</definedName>
    <definedName name="Crash_6">Weeks!$G$22</definedName>
    <definedName name="Crash_7">Weeks!$G$23</definedName>
    <definedName name="Crash_8">Weeks!$G$24</definedName>
    <definedName name="Crash_9">Weeks!$G$25</definedName>
    <definedName name="Effect">Weeks!$G$10</definedName>
    <definedName name="ExpNoLaw">Weeks!$E$75</definedName>
    <definedName name="FirstWeek">Inputs!$D$18</definedName>
    <definedName name="Growth">Inputs!$D$12</definedName>
    <definedName name="InputMeans">Inputs!$I$20:$I$20</definedName>
    <definedName name="LastWeek">Inputs!$D$19</definedName>
    <definedName name="LawEffect">Inputs!$D$20</definedName>
    <definedName name="LawEffect_Hi">Inputs!$H$20</definedName>
    <definedName name="LawEffect_Lo">Inputs!$F$20</definedName>
    <definedName name="LawEffect_Mean">Inputs!$I$20</definedName>
    <definedName name="LawEffect_ML">Inputs!$G$20</definedName>
    <definedName name="LawWeek">Weeks!$G$9</definedName>
    <definedName name="Passes">Weeks!$G$8</definedName>
    <definedName name="PLaw">Inputs!$D$17</definedName>
    <definedName name="_xlnm.Print_Area" localSheetId="3">Results!$A$1:$R$44</definedName>
    <definedName name="_xlnm.Print_Titles" localSheetId="1">Inputs!$1:$4</definedName>
    <definedName name="_xlnm.Print_Titles" localSheetId="3">Results!$1:$4</definedName>
    <definedName name="SIAvg">Weeks!$C$69</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rt">Inputs!$D$11</definedName>
    <definedName name="Total">Weeks!$E$74</definedName>
    <definedName name="WeeklyGrowth">Weeks!$G$11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9" i="4" l="1"/>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D14" i="4"/>
  <c r="E81" i="3"/>
  <c r="C69" i="3"/>
  <c r="E80" i="3" s="1"/>
  <c r="B7" i="4" s="1"/>
  <c r="G11" i="3"/>
  <c r="D65" i="3" s="1"/>
  <c r="G8" i="3" a="1"/>
  <c r="G9" i="3" a="1"/>
  <c r="D20" i="2" a="1"/>
  <c r="I20" i="2" a="1"/>
  <c r="D52" i="3" l="1"/>
  <c r="D18" i="3"/>
  <c r="H18" i="3" s="1"/>
  <c r="D29" i="3"/>
  <c r="D23" i="3"/>
  <c r="H23" i="3" s="1"/>
  <c r="G9" i="3"/>
  <c r="G8" i="3"/>
  <c r="H65" i="3"/>
  <c r="D61" i="3"/>
  <c r="D54" i="3"/>
  <c r="H52" i="3"/>
  <c r="D35" i="3"/>
  <c r="D57" i="3"/>
  <c r="D25" i="3"/>
  <c r="D46" i="3"/>
  <c r="D24" i="3"/>
  <c r="D48" i="3"/>
  <c r="D59" i="3"/>
  <c r="D60" i="3"/>
  <c r="D28" i="3"/>
  <c r="D53" i="3"/>
  <c r="D21" i="3"/>
  <c r="D42" i="3"/>
  <c r="D31" i="3"/>
  <c r="D55" i="3"/>
  <c r="D68" i="3"/>
  <c r="D49" i="3"/>
  <c r="D17" i="3"/>
  <c r="D38" i="3"/>
  <c r="D40" i="3"/>
  <c r="D64" i="3"/>
  <c r="D44" i="3"/>
  <c r="D19" i="3"/>
  <c r="D32" i="3"/>
  <c r="D45" i="3"/>
  <c r="D66" i="3"/>
  <c r="D34" i="3"/>
  <c r="D47" i="3"/>
  <c r="D20" i="3"/>
  <c r="D43" i="3"/>
  <c r="D22" i="3"/>
  <c r="D33" i="3"/>
  <c r="H29" i="3"/>
  <c r="D26" i="3"/>
  <c r="D37" i="3"/>
  <c r="D67" i="3"/>
  <c r="D39" i="3"/>
  <c r="D63" i="3"/>
  <c r="D58" i="3"/>
  <c r="D51" i="3"/>
  <c r="D36" i="3"/>
  <c r="D27" i="3"/>
  <c r="D30" i="3"/>
  <c r="D41" i="3"/>
  <c r="D50" i="3"/>
  <c r="D56" i="3"/>
  <c r="D62" i="3"/>
  <c r="I20" i="2"/>
  <c r="D20" i="2"/>
  <c r="G10" i="3" s="1"/>
  <c r="H67" i="3" l="1"/>
  <c r="H41" i="3"/>
  <c r="H20" i="3"/>
  <c r="H42" i="3"/>
  <c r="H47" i="3"/>
  <c r="H21" i="3"/>
  <c r="H54" i="3"/>
  <c r="H27" i="3"/>
  <c r="H37" i="3"/>
  <c r="H34" i="3"/>
  <c r="H38" i="3"/>
  <c r="H53" i="3"/>
  <c r="H57" i="3"/>
  <c r="H61" i="3"/>
  <c r="H36" i="3"/>
  <c r="H66" i="3"/>
  <c r="H28" i="3"/>
  <c r="H45" i="3"/>
  <c r="H60" i="3"/>
  <c r="H51" i="3"/>
  <c r="H32" i="3"/>
  <c r="H59" i="3"/>
  <c r="H56" i="3"/>
  <c r="H58" i="3"/>
  <c r="H22" i="3"/>
  <c r="H19" i="3"/>
  <c r="H55" i="3"/>
  <c r="H48" i="3"/>
  <c r="E38" i="3"/>
  <c r="F38" i="3" s="1"/>
  <c r="E20" i="3"/>
  <c r="F20" i="3" s="1"/>
  <c r="E47" i="3"/>
  <c r="F47" i="3" s="1"/>
  <c r="E62" i="3"/>
  <c r="F62" i="3" s="1"/>
  <c r="E57" i="3"/>
  <c r="F57" i="3" s="1"/>
  <c r="E53" i="3"/>
  <c r="F53" i="3" s="1"/>
  <c r="E58" i="3"/>
  <c r="F58" i="3" s="1"/>
  <c r="E55" i="3"/>
  <c r="F55" i="3" s="1"/>
  <c r="E41" i="3"/>
  <c r="F41" i="3" s="1"/>
  <c r="E29" i="3"/>
  <c r="F29" i="3" s="1"/>
  <c r="E39" i="3"/>
  <c r="F39" i="3" s="1"/>
  <c r="E24" i="3"/>
  <c r="F24" i="3" s="1"/>
  <c r="E31" i="3"/>
  <c r="F31" i="3" s="1"/>
  <c r="E23" i="3"/>
  <c r="F23" i="3" s="1"/>
  <c r="E19" i="3"/>
  <c r="F19" i="3" s="1"/>
  <c r="E27" i="3"/>
  <c r="F27" i="3" s="1"/>
  <c r="E43" i="3"/>
  <c r="F43" i="3" s="1"/>
  <c r="E52" i="3"/>
  <c r="F52" i="3" s="1"/>
  <c r="I52" i="3" s="1"/>
  <c r="E54" i="3"/>
  <c r="F54" i="3" s="1"/>
  <c r="E64" i="3"/>
  <c r="F64" i="3" s="1"/>
  <c r="E67" i="3"/>
  <c r="F67" i="3" s="1"/>
  <c r="E60" i="3"/>
  <c r="F60" i="3" s="1"/>
  <c r="E34" i="3"/>
  <c r="F34" i="3" s="1"/>
  <c r="E25" i="3"/>
  <c r="F25" i="3" s="1"/>
  <c r="E17" i="3"/>
  <c r="F17" i="3" s="1"/>
  <c r="E33" i="3"/>
  <c r="F33" i="3" s="1"/>
  <c r="E66" i="3"/>
  <c r="F66" i="3" s="1"/>
  <c r="E21" i="3"/>
  <c r="F21" i="3" s="1"/>
  <c r="E37" i="3"/>
  <c r="F37" i="3" s="1"/>
  <c r="E40" i="3"/>
  <c r="F40" i="3" s="1"/>
  <c r="E56" i="3"/>
  <c r="F56" i="3" s="1"/>
  <c r="E49" i="3"/>
  <c r="F49" i="3" s="1"/>
  <c r="E61" i="3"/>
  <c r="F61" i="3" s="1"/>
  <c r="E63" i="3"/>
  <c r="F63" i="3" s="1"/>
  <c r="E42" i="3"/>
  <c r="F42" i="3" s="1"/>
  <c r="E32" i="3"/>
  <c r="F32" i="3" s="1"/>
  <c r="E50" i="3"/>
  <c r="F50" i="3" s="1"/>
  <c r="E18" i="3"/>
  <c r="F18" i="3" s="1"/>
  <c r="E26" i="3"/>
  <c r="F26" i="3" s="1"/>
  <c r="E48" i="3"/>
  <c r="F48" i="3" s="1"/>
  <c r="E28" i="3"/>
  <c r="F28" i="3" s="1"/>
  <c r="E30" i="3"/>
  <c r="F30" i="3" s="1"/>
  <c r="E45" i="3"/>
  <c r="F45" i="3" s="1"/>
  <c r="E44" i="3"/>
  <c r="F44" i="3" s="1"/>
  <c r="E59" i="3"/>
  <c r="F59" i="3" s="1"/>
  <c r="E22" i="3"/>
  <c r="F22" i="3" s="1"/>
  <c r="E36" i="3"/>
  <c r="F36" i="3" s="1"/>
  <c r="E35" i="3"/>
  <c r="F35" i="3" s="1"/>
  <c r="E68" i="3"/>
  <c r="F68" i="3" s="1"/>
  <c r="E51" i="3"/>
  <c r="F51" i="3" s="1"/>
  <c r="E65" i="3"/>
  <c r="F65" i="3" s="1"/>
  <c r="I65" i="3" s="1"/>
  <c r="E46" i="3"/>
  <c r="F46" i="3" s="1"/>
  <c r="H39" i="3"/>
  <c r="H64" i="3"/>
  <c r="H46" i="3"/>
  <c r="H30" i="3"/>
  <c r="H40" i="3"/>
  <c r="H25" i="3"/>
  <c r="H26" i="3"/>
  <c r="H17" i="3"/>
  <c r="H35" i="3"/>
  <c r="H49" i="3"/>
  <c r="H62" i="3"/>
  <c r="H33" i="3"/>
  <c r="H68" i="3"/>
  <c r="H50" i="3"/>
  <c r="H63" i="3"/>
  <c r="H43" i="3"/>
  <c r="H44" i="3"/>
  <c r="H31" i="3"/>
  <c r="H24" i="3"/>
  <c r="G68" i="3" a="1"/>
  <c r="G52" i="3" a="1"/>
  <c r="G41" i="3" a="1"/>
  <c r="G61" i="3" a="1"/>
  <c r="G65" i="3" a="1"/>
  <c r="G38" i="3" a="1"/>
  <c r="G56" i="3" a="1"/>
  <c r="G18" i="3" a="1"/>
  <c r="G25" i="3" a="1"/>
  <c r="G49" i="3" a="1"/>
  <c r="G29" i="3" a="1"/>
  <c r="G30" i="3" a="1"/>
  <c r="G20" i="3" a="1"/>
  <c r="G45" i="3" a="1"/>
  <c r="G33" i="3" a="1"/>
  <c r="G39" i="3" a="1"/>
  <c r="G23" i="3" a="1"/>
  <c r="G35" i="3" a="1"/>
  <c r="G26" i="3" a="1"/>
  <c r="G28" i="3" a="1"/>
  <c r="G34" i="3" a="1"/>
  <c r="G19" i="3" a="1"/>
  <c r="G17" i="3" a="1"/>
  <c r="G63" i="3" a="1"/>
  <c r="G54" i="3" a="1"/>
  <c r="G36" i="3" a="1"/>
  <c r="G55" i="3" a="1"/>
  <c r="G43" i="3" a="1"/>
  <c r="G42" i="3" a="1"/>
  <c r="G27" i="3" a="1"/>
  <c r="G48" i="3" a="1"/>
  <c r="G66" i="3" a="1"/>
  <c r="G24" i="3" a="1"/>
  <c r="G21" i="3" a="1"/>
  <c r="G32" i="3" a="1"/>
  <c r="G46" i="3" a="1"/>
  <c r="G31" i="3" a="1"/>
  <c r="G37" i="3" a="1"/>
  <c r="G60" i="3" a="1"/>
  <c r="G51" i="3" a="1"/>
  <c r="G47" i="3" a="1"/>
  <c r="G64" i="3" a="1"/>
  <c r="G44" i="3" a="1"/>
  <c r="G67" i="3" a="1"/>
  <c r="G59" i="3" a="1"/>
  <c r="G53" i="3" a="1"/>
  <c r="G22" i="3" a="1"/>
  <c r="G58" i="3" a="1"/>
  <c r="G62" i="3" a="1"/>
  <c r="G57" i="3" a="1"/>
  <c r="G50" i="3" a="1"/>
  <c r="G40" i="3" a="1"/>
  <c r="I39" i="3" l="1"/>
  <c r="I43" i="3"/>
  <c r="I61" i="3"/>
  <c r="I20" i="3"/>
  <c r="I55" i="3"/>
  <c r="I26" i="3"/>
  <c r="I25" i="3"/>
  <c r="I54" i="3"/>
  <c r="I68" i="3"/>
  <c r="I56" i="3"/>
  <c r="I36" i="3"/>
  <c r="I30" i="3"/>
  <c r="I33" i="3"/>
  <c r="I38" i="3"/>
  <c r="G40" i="3"/>
  <c r="G50" i="3"/>
  <c r="G57" i="3"/>
  <c r="G62" i="3"/>
  <c r="G58" i="3"/>
  <c r="G22" i="3"/>
  <c r="G53" i="3"/>
  <c r="G59" i="3"/>
  <c r="G67" i="3"/>
  <c r="G44" i="3"/>
  <c r="G64" i="3"/>
  <c r="G47" i="3"/>
  <c r="G51" i="3"/>
  <c r="G60" i="3"/>
  <c r="G37" i="3"/>
  <c r="G31" i="3"/>
  <c r="G46" i="3"/>
  <c r="G32" i="3"/>
  <c r="G21" i="3"/>
  <c r="G24" i="3"/>
  <c r="G66" i="3"/>
  <c r="G48" i="3"/>
  <c r="G27" i="3"/>
  <c r="G42" i="3"/>
  <c r="G43" i="3"/>
  <c r="G55" i="3"/>
  <c r="G36" i="3"/>
  <c r="G54" i="3"/>
  <c r="G63" i="3"/>
  <c r="G17" i="3"/>
  <c r="G19" i="3"/>
  <c r="G34" i="3"/>
  <c r="G28" i="3"/>
  <c r="G26" i="3"/>
  <c r="G35" i="3"/>
  <c r="G23" i="3"/>
  <c r="G39" i="3"/>
  <c r="G33" i="3"/>
  <c r="G45" i="3"/>
  <c r="G20" i="3"/>
  <c r="G30" i="3"/>
  <c r="G29" i="3"/>
  <c r="G49" i="3"/>
  <c r="G25" i="3"/>
  <c r="G18" i="3"/>
  <c r="G56" i="3"/>
  <c r="G38" i="3"/>
  <c r="G65" i="3"/>
  <c r="G61" i="3"/>
  <c r="G41" i="3"/>
  <c r="G52" i="3"/>
  <c r="G68" i="3"/>
  <c r="I40" i="3"/>
  <c r="F69" i="3"/>
  <c r="I63" i="3"/>
  <c r="I17" i="3"/>
  <c r="H69" i="3"/>
  <c r="E75" i="3" s="1"/>
  <c r="I19" i="3"/>
  <c r="I34" i="3"/>
  <c r="I31" i="3"/>
  <c r="I47" i="3"/>
  <c r="I50" i="3"/>
  <c r="I32" i="3"/>
  <c r="I28" i="3"/>
  <c r="I37" i="3"/>
  <c r="I60" i="3"/>
  <c r="I62" i="3"/>
  <c r="I45" i="3"/>
  <c r="I57" i="3"/>
  <c r="I41" i="3"/>
  <c r="I46" i="3"/>
  <c r="I23" i="3"/>
  <c r="I49" i="3"/>
  <c r="I64" i="3"/>
  <c r="I51" i="3"/>
  <c r="I66" i="3"/>
  <c r="I53" i="3"/>
  <c r="I27" i="3"/>
  <c r="I67" i="3"/>
  <c r="I18" i="3"/>
  <c r="I35" i="3"/>
  <c r="I24" i="3"/>
  <c r="I21" i="3"/>
  <c r="I59" i="3"/>
  <c r="I22" i="3"/>
  <c r="I44" i="3"/>
  <c r="I29" i="3"/>
  <c r="I48" i="3"/>
  <c r="I58" i="3"/>
  <c r="I42" i="3"/>
  <c r="F144" i="4" a="1"/>
  <c r="C144" i="4" a="1"/>
  <c r="D144" i="4" a="1"/>
  <c r="E144" i="4" a="1"/>
  <c r="E116" i="4" a="1"/>
  <c r="D116" i="4" a="1"/>
  <c r="F116" i="4" a="1"/>
  <c r="C116" i="4" a="1"/>
  <c r="F127" i="4" a="1"/>
  <c r="D127" i="4" a="1"/>
  <c r="E127" i="4" a="1"/>
  <c r="C127" i="4" a="1"/>
  <c r="F119" i="4" a="1"/>
  <c r="E119" i="4" a="1"/>
  <c r="C119" i="4" a="1"/>
  <c r="D119" i="4" a="1"/>
  <c r="D105" i="4" a="1"/>
  <c r="E105" i="4" a="1"/>
  <c r="C105" i="4" a="1"/>
  <c r="F105" i="4" a="1"/>
  <c r="C150" i="4" a="1"/>
  <c r="E150" i="4" a="1"/>
  <c r="F150" i="4" a="1"/>
  <c r="D150" i="4" a="1"/>
  <c r="C143" i="4" a="1"/>
  <c r="F143" i="4" a="1"/>
  <c r="E143" i="4" a="1"/>
  <c r="D143" i="4" a="1"/>
  <c r="D107" i="4" a="1"/>
  <c r="C107" i="4" a="1"/>
  <c r="E107" i="4" a="1"/>
  <c r="F107" i="4" a="1"/>
  <c r="C145" i="4" a="1"/>
  <c r="D145" i="4" a="1"/>
  <c r="E145" i="4" a="1"/>
  <c r="F145" i="4" a="1"/>
  <c r="E133" i="4" a="1"/>
  <c r="D133" i="4" a="1"/>
  <c r="C133" i="4" a="1"/>
  <c r="F133" i="4" a="1"/>
  <c r="F102" i="4" a="1"/>
  <c r="E102" i="4" a="1"/>
  <c r="D102" i="4" a="1"/>
  <c r="C102" i="4" a="1"/>
  <c r="E141" i="4" a="1"/>
  <c r="C141" i="4" a="1"/>
  <c r="D141" i="4" a="1"/>
  <c r="F141" i="4" a="1"/>
  <c r="D138" i="4" a="1"/>
  <c r="F138" i="4" a="1"/>
  <c r="C138" i="4" a="1"/>
  <c r="E138" i="4" a="1"/>
  <c r="D122" i="4" a="1"/>
  <c r="F122" i="4" a="1"/>
  <c r="C122" i="4" a="1"/>
  <c r="E122" i="4" a="1"/>
  <c r="E112" i="4" a="1"/>
  <c r="F112" i="4" a="1"/>
  <c r="C112" i="4" a="1"/>
  <c r="D112" i="4" a="1"/>
  <c r="C104" i="4" a="1"/>
  <c r="D104" i="4" a="1"/>
  <c r="E104" i="4" a="1"/>
  <c r="F104" i="4" a="1"/>
  <c r="D130" i="4" a="1"/>
  <c r="F130" i="4" a="1"/>
  <c r="C130" i="4" a="1"/>
  <c r="E130" i="4" a="1"/>
  <c r="D123" i="4" a="1"/>
  <c r="C123" i="4" a="1"/>
  <c r="E123" i="4" a="1"/>
  <c r="F123" i="4" a="1"/>
  <c r="C125" i="4" a="1"/>
  <c r="E125" i="4" a="1"/>
  <c r="D125" i="4" a="1"/>
  <c r="F125" i="4" a="1"/>
  <c r="C152" i="4" a="1"/>
  <c r="F152" i="4" a="1"/>
  <c r="D152" i="4" a="1"/>
  <c r="E152" i="4" a="1"/>
  <c r="E131" i="4" a="1"/>
  <c r="F131" i="4" a="1"/>
  <c r="D131" i="4" a="1"/>
  <c r="C131" i="4" a="1"/>
  <c r="C128" i="4" a="1"/>
  <c r="D128" i="4" a="1"/>
  <c r="F128" i="4" a="1"/>
  <c r="E128" i="4" a="1"/>
  <c r="D113" i="4" a="1"/>
  <c r="E113" i="4" a="1"/>
  <c r="F113" i="4" a="1"/>
  <c r="C113" i="4" a="1"/>
  <c r="D115" i="4" a="1"/>
  <c r="F115" i="4" a="1"/>
  <c r="C115" i="4" a="1"/>
  <c r="E115" i="4" a="1"/>
  <c r="C146" i="4" a="1"/>
  <c r="F146" i="4" a="1"/>
  <c r="D146" i="4" a="1"/>
  <c r="E146" i="4" a="1"/>
  <c r="D135" i="4" a="1"/>
  <c r="C135" i="4" a="1"/>
  <c r="F135" i="4" a="1"/>
  <c r="E135" i="4" a="1"/>
  <c r="C129" i="4" a="1"/>
  <c r="F129" i="4" a="1"/>
  <c r="E129" i="4" a="1"/>
  <c r="D129" i="4" a="1"/>
  <c r="F117" i="4" a="1"/>
  <c r="D117" i="4" a="1"/>
  <c r="C117" i="4" a="1"/>
  <c r="E117" i="4" a="1"/>
  <c r="E140" i="4" a="1"/>
  <c r="D140" i="4" a="1"/>
  <c r="C140" i="4" a="1"/>
  <c r="F140" i="4" a="1"/>
  <c r="F111" i="4" a="1"/>
  <c r="D111" i="4" a="1"/>
  <c r="E111" i="4" a="1"/>
  <c r="C111" i="4" a="1"/>
  <c r="D114" i="4" a="1"/>
  <c r="F114" i="4" a="1"/>
  <c r="C114" i="4" a="1"/>
  <c r="E114" i="4" a="1"/>
  <c r="D126" i="4" a="1"/>
  <c r="F126" i="4" a="1"/>
  <c r="E126" i="4" a="1"/>
  <c r="C126" i="4" a="1"/>
  <c r="E142" i="4" a="1"/>
  <c r="F142" i="4" a="1"/>
  <c r="D142" i="4" a="1"/>
  <c r="C142" i="4" a="1"/>
  <c r="C149" i="4" a="1"/>
  <c r="D149" i="4" a="1"/>
  <c r="E149" i="4" a="1"/>
  <c r="F149" i="4" a="1"/>
  <c r="F106" i="4" a="1"/>
  <c r="D106" i="4" a="1"/>
  <c r="C106" i="4" a="1"/>
  <c r="E106" i="4" a="1"/>
  <c r="E121" i="4" a="1"/>
  <c r="C121" i="4" a="1"/>
  <c r="F121" i="4" a="1"/>
  <c r="D121" i="4" a="1"/>
  <c r="C120" i="4" a="1"/>
  <c r="E120" i="4" a="1"/>
  <c r="D120" i="4" a="1"/>
  <c r="F120" i="4" a="1"/>
  <c r="D134" i="4" a="1"/>
  <c r="F134" i="4" a="1"/>
  <c r="E134" i="4" a="1"/>
  <c r="C134" i="4" a="1"/>
  <c r="E137" i="4" a="1"/>
  <c r="C137" i="4" a="1"/>
  <c r="F137" i="4" a="1"/>
  <c r="D137" i="4" a="1"/>
  <c r="E147" i="4" a="1"/>
  <c r="D147" i="4" a="1"/>
  <c r="C147" i="4" a="1"/>
  <c r="F147" i="4" a="1"/>
  <c r="E132" i="4" a="1"/>
  <c r="C132" i="4" a="1"/>
  <c r="D132" i="4" a="1"/>
  <c r="F132" i="4" a="1"/>
  <c r="E109" i="4" a="1"/>
  <c r="C109" i="4" a="1"/>
  <c r="D109" i="4" a="1"/>
  <c r="F109" i="4" a="1"/>
  <c r="D139" i="4" a="1"/>
  <c r="F139" i="4" a="1"/>
  <c r="C139" i="4" a="1"/>
  <c r="E139" i="4" a="1"/>
  <c r="F108" i="4" a="1"/>
  <c r="C108" i="4" a="1"/>
  <c r="D108" i="4" a="1"/>
  <c r="E108" i="4" a="1"/>
  <c r="F110" i="4" a="1"/>
  <c r="E110" i="4" a="1"/>
  <c r="C110" i="4" a="1"/>
  <c r="D110" i="4" a="1"/>
  <c r="C153" i="4" a="1"/>
  <c r="E153" i="4" a="1"/>
  <c r="D153" i="4" a="1"/>
  <c r="F153" i="4" a="1"/>
  <c r="C136" i="4" a="1"/>
  <c r="D136" i="4" a="1"/>
  <c r="F136" i="4" a="1"/>
  <c r="E136" i="4" a="1"/>
  <c r="C151" i="4" a="1"/>
  <c r="E151" i="4" a="1"/>
  <c r="F151" i="4" a="1"/>
  <c r="D151" i="4" a="1"/>
  <c r="C148" i="4" a="1"/>
  <c r="D148" i="4" a="1"/>
  <c r="F148" i="4" a="1"/>
  <c r="E148" i="4" a="1"/>
  <c r="C124" i="4" a="1"/>
  <c r="E124" i="4" a="1"/>
  <c r="D124" i="4" a="1"/>
  <c r="F124" i="4" a="1"/>
  <c r="D103" i="4" a="1"/>
  <c r="E103" i="4" a="1"/>
  <c r="F103" i="4" a="1"/>
  <c r="C103" i="4" a="1"/>
  <c r="F118" i="4" a="1"/>
  <c r="E118" i="4" a="1"/>
  <c r="D118" i="4" a="1"/>
  <c r="C118" i="4" a="1"/>
  <c r="D17" i="4" l="1"/>
  <c r="D12" i="4"/>
  <c r="C118" i="4"/>
  <c r="D118" i="4"/>
  <c r="E118" i="4"/>
  <c r="F118" i="4"/>
  <c r="C103" i="4"/>
  <c r="F103" i="4"/>
  <c r="E103" i="4"/>
  <c r="D103" i="4"/>
  <c r="F124" i="4"/>
  <c r="D124" i="4"/>
  <c r="E124" i="4"/>
  <c r="C124" i="4"/>
  <c r="E148" i="4"/>
  <c r="F148" i="4"/>
  <c r="D148" i="4"/>
  <c r="C148" i="4"/>
  <c r="D151" i="4"/>
  <c r="F151" i="4"/>
  <c r="E151" i="4"/>
  <c r="C151" i="4"/>
  <c r="E136" i="4"/>
  <c r="F136" i="4"/>
  <c r="D136" i="4"/>
  <c r="C136" i="4"/>
  <c r="F153" i="4"/>
  <c r="D153" i="4"/>
  <c r="E153" i="4"/>
  <c r="C153" i="4"/>
  <c r="D110" i="4"/>
  <c r="C110" i="4"/>
  <c r="E110" i="4"/>
  <c r="F110" i="4"/>
  <c r="E108" i="4"/>
  <c r="D108" i="4"/>
  <c r="C108" i="4"/>
  <c r="F108" i="4"/>
  <c r="E139" i="4"/>
  <c r="C139" i="4"/>
  <c r="F139" i="4"/>
  <c r="D139" i="4"/>
  <c r="F109" i="4"/>
  <c r="D109" i="4"/>
  <c r="C109" i="4"/>
  <c r="E109" i="4"/>
  <c r="F132" i="4"/>
  <c r="D132" i="4"/>
  <c r="C132" i="4"/>
  <c r="E132" i="4"/>
  <c r="F147" i="4"/>
  <c r="C147" i="4"/>
  <c r="D147" i="4"/>
  <c r="E147" i="4"/>
  <c r="D137" i="4"/>
  <c r="F137" i="4"/>
  <c r="C137" i="4"/>
  <c r="E137" i="4"/>
  <c r="C134" i="4"/>
  <c r="E134" i="4"/>
  <c r="F134" i="4"/>
  <c r="D134" i="4"/>
  <c r="F120" i="4"/>
  <c r="D120" i="4"/>
  <c r="E120" i="4"/>
  <c r="C120" i="4"/>
  <c r="D121" i="4"/>
  <c r="F121" i="4"/>
  <c r="C121" i="4"/>
  <c r="E121" i="4"/>
  <c r="E106" i="4"/>
  <c r="C106" i="4"/>
  <c r="D106" i="4"/>
  <c r="F106" i="4"/>
  <c r="F149" i="4"/>
  <c r="E149" i="4"/>
  <c r="D149" i="4"/>
  <c r="C149" i="4"/>
  <c r="C142" i="4"/>
  <c r="D142" i="4"/>
  <c r="F142" i="4"/>
  <c r="E142" i="4"/>
  <c r="C126" i="4"/>
  <c r="E126" i="4"/>
  <c r="F126" i="4"/>
  <c r="D126" i="4"/>
  <c r="E114" i="4"/>
  <c r="C114" i="4"/>
  <c r="F114" i="4"/>
  <c r="D114" i="4"/>
  <c r="C111" i="4"/>
  <c r="E111" i="4"/>
  <c r="D111" i="4"/>
  <c r="F111" i="4"/>
  <c r="F140" i="4"/>
  <c r="C140" i="4"/>
  <c r="D140" i="4"/>
  <c r="E140" i="4"/>
  <c r="E117" i="4"/>
  <c r="C117" i="4"/>
  <c r="D117" i="4"/>
  <c r="F117" i="4"/>
  <c r="D129" i="4"/>
  <c r="E129" i="4"/>
  <c r="F129" i="4"/>
  <c r="C129" i="4"/>
  <c r="E135" i="4"/>
  <c r="F135" i="4"/>
  <c r="C135" i="4"/>
  <c r="D135" i="4"/>
  <c r="E146" i="4"/>
  <c r="D146" i="4"/>
  <c r="F146" i="4"/>
  <c r="C146" i="4"/>
  <c r="E115" i="4"/>
  <c r="C115" i="4"/>
  <c r="F115" i="4"/>
  <c r="D115" i="4"/>
  <c r="C113" i="4"/>
  <c r="F113" i="4"/>
  <c r="E113" i="4"/>
  <c r="D113" i="4"/>
  <c r="E128" i="4"/>
  <c r="F128" i="4"/>
  <c r="D128" i="4"/>
  <c r="C128" i="4"/>
  <c r="C131" i="4"/>
  <c r="D131" i="4"/>
  <c r="F131" i="4"/>
  <c r="E131" i="4"/>
  <c r="E152" i="4"/>
  <c r="D152" i="4"/>
  <c r="F152" i="4"/>
  <c r="C152" i="4"/>
  <c r="F125" i="4"/>
  <c r="D125" i="4"/>
  <c r="E125" i="4"/>
  <c r="C125" i="4"/>
  <c r="F123" i="4"/>
  <c r="E123" i="4"/>
  <c r="C123" i="4"/>
  <c r="D123" i="4"/>
  <c r="E130" i="4"/>
  <c r="C130" i="4"/>
  <c r="F130" i="4"/>
  <c r="D130" i="4"/>
  <c r="F104" i="4"/>
  <c r="E104" i="4"/>
  <c r="D104" i="4"/>
  <c r="C104" i="4"/>
  <c r="D112" i="4"/>
  <c r="C112" i="4"/>
  <c r="F112" i="4"/>
  <c r="E112" i="4"/>
  <c r="E122" i="4"/>
  <c r="C122" i="4"/>
  <c r="F122" i="4"/>
  <c r="D122" i="4"/>
  <c r="E138" i="4"/>
  <c r="C138" i="4"/>
  <c r="F138" i="4"/>
  <c r="D138" i="4"/>
  <c r="F141" i="4"/>
  <c r="D141" i="4"/>
  <c r="C141" i="4"/>
  <c r="E141" i="4"/>
  <c r="C102" i="4"/>
  <c r="D102" i="4"/>
  <c r="E102" i="4"/>
  <c r="F102" i="4"/>
  <c r="F133" i="4"/>
  <c r="C133" i="4"/>
  <c r="D133" i="4"/>
  <c r="E133" i="4"/>
  <c r="F145" i="4"/>
  <c r="E145" i="4"/>
  <c r="D145" i="4"/>
  <c r="C145" i="4"/>
  <c r="F107" i="4"/>
  <c r="E107" i="4"/>
  <c r="C107" i="4"/>
  <c r="D107" i="4"/>
  <c r="D143" i="4"/>
  <c r="E143" i="4"/>
  <c r="F143" i="4"/>
  <c r="C143" i="4"/>
  <c r="D150" i="4"/>
  <c r="F150" i="4"/>
  <c r="E150" i="4"/>
  <c r="C150" i="4"/>
  <c r="F105" i="4"/>
  <c r="C105" i="4"/>
  <c r="E105" i="4"/>
  <c r="D105" i="4"/>
  <c r="D119" i="4"/>
  <c r="C119" i="4"/>
  <c r="E119" i="4"/>
  <c r="F119" i="4"/>
  <c r="C127" i="4"/>
  <c r="E127" i="4"/>
  <c r="D127" i="4"/>
  <c r="F127" i="4"/>
  <c r="C116" i="4"/>
  <c r="F116" i="4"/>
  <c r="D116" i="4"/>
  <c r="E116" i="4"/>
  <c r="E144" i="4"/>
  <c r="D144" i="4"/>
  <c r="C144" i="4"/>
  <c r="F144" i="4"/>
  <c r="I69" i="3"/>
  <c r="E76" i="3" s="1" a="1"/>
  <c r="E76" i="3" s="1"/>
  <c r="G69" i="3"/>
  <c r="E74" i="3" s="1" a="1"/>
  <c r="E74" i="3" s="1"/>
  <c r="D15" i="4" a="1"/>
  <c r="C201" i="4" a="1"/>
  <c r="D94" i="4" a="1"/>
  <c r="D16" i="4" a="1"/>
  <c r="D88" i="4" a="1"/>
  <c r="E19" i="4" a="1"/>
  <c r="D83" i="4" a="1"/>
  <c r="C197" i="4" a="1"/>
  <c r="C164" i="4" a="1"/>
  <c r="D78" i="4" a="1"/>
  <c r="C190" i="4" a="1"/>
  <c r="C246" i="4" a="1"/>
  <c r="D84" i="4" a="1"/>
  <c r="C255" i="4" a="1"/>
  <c r="D59" i="4" a="1"/>
  <c r="C232" i="4" a="1"/>
  <c r="D74" i="4" a="1"/>
  <c r="C239" i="4" a="1"/>
  <c r="D97" i="4" a="1"/>
  <c r="C228" i="4" a="1"/>
  <c r="D66" i="4" a="1"/>
  <c r="C214" i="4" a="1"/>
  <c r="C206" i="4" a="1"/>
  <c r="C233" i="4" a="1"/>
  <c r="C242" i="4" a="1"/>
  <c r="D85" i="4" a="1"/>
  <c r="C243" i="4" a="1"/>
  <c r="C229" i="4" a="1"/>
  <c r="C220" i="4" a="1"/>
  <c r="C210" i="4" a="1"/>
  <c r="C247" i="4" a="1"/>
  <c r="D81" i="4" a="1"/>
  <c r="C189" i="4" a="1"/>
  <c r="C193" i="4" a="1"/>
  <c r="C171" i="4" a="1"/>
  <c r="C209" i="4" a="1"/>
  <c r="C200" i="4" a="1"/>
  <c r="C170" i="4" a="1"/>
  <c r="C222" i="4" a="1"/>
  <c r="D77" i="4" a="1"/>
  <c r="C167" i="4" a="1"/>
  <c r="D95" i="4" a="1"/>
  <c r="D91" i="4" a="1"/>
  <c r="C184" i="4" a="1"/>
  <c r="D98" i="4" a="1"/>
  <c r="C160" i="4" a="1"/>
  <c r="C174" i="4" a="1"/>
  <c r="D76" i="4" a="1"/>
  <c r="C166" i="4" a="1"/>
  <c r="C249" i="4" a="1"/>
  <c r="C156" i="4" a="1"/>
  <c r="C169" i="4" a="1"/>
  <c r="D72" i="4" a="1"/>
  <c r="C224" i="4" a="1"/>
  <c r="B6" i="4" a="1"/>
  <c r="C194" i="4" a="1"/>
  <c r="C177" i="4" a="1"/>
  <c r="C205" i="4" a="1"/>
  <c r="C196" i="4" a="1"/>
  <c r="C159" i="4" a="1"/>
  <c r="C215" i="4" a="1"/>
  <c r="D73" i="4" a="1"/>
  <c r="D92" i="4" a="1"/>
  <c r="D63" i="4" a="1"/>
  <c r="C223" i="4" a="1"/>
  <c r="C241" i="4" a="1"/>
  <c r="C256" i="4" a="1"/>
  <c r="C192" i="4" a="1"/>
  <c r="C181" i="4" a="1"/>
  <c r="D62" i="4" a="1"/>
  <c r="C185" i="4" a="1"/>
  <c r="D69" i="4" a="1"/>
  <c r="C183" i="4" a="1"/>
  <c r="D56" i="4" a="1"/>
  <c r="C218" i="4" a="1"/>
  <c r="C161" i="4" a="1"/>
  <c r="C237" i="4" a="1"/>
  <c r="C236" i="4" a="1"/>
  <c r="C188" i="4" a="1"/>
  <c r="C175" i="4" a="1"/>
  <c r="D58" i="4" a="1"/>
  <c r="C179" i="4" a="1"/>
  <c r="G19" i="4" a="1"/>
  <c r="C178" i="4" a="1"/>
  <c r="D52" i="4" a="1"/>
  <c r="C199" i="4" a="1"/>
  <c r="C187" i="4" a="1"/>
  <c r="C225" i="4" a="1"/>
  <c r="C252" i="4" a="1"/>
  <c r="C216" i="4" a="1"/>
  <c r="C176" i="4" a="1"/>
  <c r="C203" i="4" a="1"/>
  <c r="D90" i="4" a="1"/>
  <c r="D54" i="4" a="1"/>
  <c r="C234" i="4" a="1"/>
  <c r="C163" i="4" a="1"/>
  <c r="D65" i="4" a="1"/>
  <c r="C251" i="4" a="1"/>
  <c r="C162" i="4" a="1"/>
  <c r="D68" i="4" a="1"/>
  <c r="D87" i="4" a="1"/>
  <c r="D75" i="4" a="1"/>
  <c r="D67" i="4" a="1"/>
  <c r="C250" i="4" a="1"/>
  <c r="C221" i="4" a="1"/>
  <c r="C248" i="4" a="1"/>
  <c r="C208" i="4" a="1"/>
  <c r="C172" i="4" a="1"/>
  <c r="C191" i="4" a="1"/>
  <c r="D86" i="4" a="1"/>
  <c r="D50" i="4" a="1"/>
  <c r="C227" i="4" a="1"/>
  <c r="C158" i="4" a="1"/>
  <c r="D57" i="4" a="1"/>
  <c r="C226" i="4" a="1"/>
  <c r="C157" i="4" a="1"/>
  <c r="D64" i="4" a="1"/>
  <c r="D79" i="4" a="1"/>
  <c r="D51" i="4" a="1"/>
  <c r="D13" i="4" a="1"/>
  <c r="C211" i="4" a="1"/>
  <c r="C253" i="4" a="1"/>
  <c r="C217" i="4" a="1"/>
  <c r="C240" i="4" a="1"/>
  <c r="C204" i="4" a="1"/>
  <c r="C168" i="4" a="1"/>
  <c r="C186" i="4" a="1"/>
  <c r="D82" i="4" a="1"/>
  <c r="D19" i="4" a="1"/>
  <c r="C202" i="4" a="1"/>
  <c r="D89" i="4" a="1"/>
  <c r="D53" i="4" a="1"/>
  <c r="C219" i="4" a="1"/>
  <c r="D96" i="4" a="1"/>
  <c r="D60" i="4" a="1"/>
  <c r="D71" i="4" a="1"/>
  <c r="D99" i="4" a="1"/>
  <c r="C238" i="4" a="1"/>
  <c r="C230" i="4" a="1"/>
  <c r="C245" i="4" a="1"/>
  <c r="C213" i="4" a="1"/>
  <c r="C244" i="4" a="1"/>
  <c r="C212" i="4" a="1"/>
  <c r="C180" i="4" a="1"/>
  <c r="C235" i="4" a="1"/>
  <c r="C165" i="4" a="1"/>
  <c r="D70" i="4" a="1"/>
  <c r="C254" i="4" a="1"/>
  <c r="C195" i="4" a="1"/>
  <c r="D93" i="4" a="1"/>
  <c r="D61" i="4" a="1"/>
  <c r="C207" i="4" a="1"/>
  <c r="C173" i="4" a="1"/>
  <c r="D80" i="4" a="1"/>
  <c r="F19" i="4" a="1"/>
  <c r="D55" i="4" a="1"/>
  <c r="C182" i="4" a="1"/>
  <c r="C231" i="4" a="1"/>
  <c r="C198" i="4" a="1"/>
  <c r="C198" i="4" l="1"/>
  <c r="C231" i="4"/>
  <c r="C182" i="4"/>
  <c r="D55" i="4"/>
  <c r="F19" i="4"/>
  <c r="D80" i="4"/>
  <c r="C173" i="4"/>
  <c r="C207" i="4"/>
  <c r="D61" i="4"/>
  <c r="D93" i="4"/>
  <c r="C195" i="4"/>
  <c r="C254" i="4"/>
  <c r="D70" i="4"/>
  <c r="C165" i="4"/>
  <c r="C235" i="4"/>
  <c r="C180" i="4"/>
  <c r="C212" i="4"/>
  <c r="C244" i="4"/>
  <c r="C213" i="4"/>
  <c r="C245" i="4"/>
  <c r="C230" i="4"/>
  <c r="C238" i="4"/>
  <c r="D99" i="4"/>
  <c r="D71" i="4"/>
  <c r="D60" i="4"/>
  <c r="D96" i="4"/>
  <c r="C219" i="4"/>
  <c r="D53" i="4"/>
  <c r="D89" i="4"/>
  <c r="C202" i="4"/>
  <c r="D19" i="4"/>
  <c r="D82" i="4"/>
  <c r="C186" i="4"/>
  <c r="C168" i="4"/>
  <c r="C204" i="4"/>
  <c r="C240" i="4"/>
  <c r="C217" i="4"/>
  <c r="C253" i="4"/>
  <c r="C211" i="4"/>
  <c r="D13" i="4"/>
  <c r="D51" i="4"/>
  <c r="D79" i="4"/>
  <c r="D64" i="4"/>
  <c r="C157" i="4"/>
  <c r="C226" i="4"/>
  <c r="D57" i="4"/>
  <c r="C158" i="4"/>
  <c r="C227" i="4"/>
  <c r="D50" i="4"/>
  <c r="D86" i="4"/>
  <c r="C191" i="4"/>
  <c r="C172" i="4"/>
  <c r="C208" i="4"/>
  <c r="C248" i="4"/>
  <c r="C221" i="4"/>
  <c r="C250" i="4"/>
  <c r="D67" i="4"/>
  <c r="D75" i="4"/>
  <c r="D87" i="4"/>
  <c r="D68" i="4"/>
  <c r="C162" i="4"/>
  <c r="C251" i="4"/>
  <c r="D65" i="4"/>
  <c r="C163" i="4"/>
  <c r="C234" i="4"/>
  <c r="D54" i="4"/>
  <c r="D90" i="4"/>
  <c r="C203" i="4"/>
  <c r="C176" i="4"/>
  <c r="C216" i="4"/>
  <c r="C252" i="4"/>
  <c r="C225" i="4"/>
  <c r="C187" i="4"/>
  <c r="C199" i="4"/>
  <c r="D52" i="4"/>
  <c r="C178" i="4"/>
  <c r="G19" i="4"/>
  <c r="C179" i="4"/>
  <c r="D58" i="4"/>
  <c r="C175" i="4"/>
  <c r="C188" i="4"/>
  <c r="C236" i="4"/>
  <c r="C237" i="4"/>
  <c r="C161" i="4"/>
  <c r="C218" i="4"/>
  <c r="D56" i="4"/>
  <c r="C183" i="4"/>
  <c r="D69" i="4"/>
  <c r="C185" i="4"/>
  <c r="D62" i="4"/>
  <c r="C181" i="4"/>
  <c r="C192" i="4"/>
  <c r="C256" i="4"/>
  <c r="C241" i="4"/>
  <c r="C223" i="4"/>
  <c r="D63" i="4"/>
  <c r="D92" i="4"/>
  <c r="D73" i="4"/>
  <c r="C215" i="4"/>
  <c r="C159" i="4"/>
  <c r="C196" i="4"/>
  <c r="C205" i="4"/>
  <c r="C177" i="4"/>
  <c r="C194" i="4"/>
  <c r="B6" i="4"/>
  <c r="C224" i="4"/>
  <c r="D72" i="4"/>
  <c r="C169" i="4"/>
  <c r="C156" i="4"/>
  <c r="C249" i="4"/>
  <c r="C166" i="4"/>
  <c r="D76" i="4"/>
  <c r="C174" i="4"/>
  <c r="C160" i="4"/>
  <c r="D98" i="4"/>
  <c r="C184" i="4"/>
  <c r="D91" i="4"/>
  <c r="D95" i="4"/>
  <c r="C167" i="4"/>
  <c r="D77" i="4"/>
  <c r="C222" i="4"/>
  <c r="C170" i="4"/>
  <c r="C200" i="4"/>
  <c r="C209" i="4"/>
  <c r="C171" i="4"/>
  <c r="C193" i="4"/>
  <c r="C189" i="4"/>
  <c r="D81" i="4"/>
  <c r="C247" i="4"/>
  <c r="C210" i="4"/>
  <c r="C220" i="4"/>
  <c r="C229" i="4"/>
  <c r="C243" i="4"/>
  <c r="D85" i="4"/>
  <c r="C242" i="4"/>
  <c r="C233" i="4"/>
  <c r="C206" i="4"/>
  <c r="C214" i="4"/>
  <c r="D66" i="4"/>
  <c r="C228" i="4"/>
  <c r="D97" i="4"/>
  <c r="C239" i="4"/>
  <c r="D74" i="4"/>
  <c r="C232" i="4"/>
  <c r="D59" i="4"/>
  <c r="C255" i="4"/>
  <c r="D84" i="4"/>
  <c r="C246" i="4"/>
  <c r="C190" i="4"/>
  <c r="D78" i="4"/>
  <c r="C164" i="4"/>
  <c r="C197" i="4"/>
  <c r="D83" i="4"/>
  <c r="E19" i="4"/>
  <c r="D88" i="4"/>
  <c r="D16" i="4"/>
  <c r="D94" i="4"/>
  <c r="C201" i="4"/>
  <c r="D15" i="4"/>
  <c r="C275" i="4" l="1"/>
  <c r="C268" i="4"/>
  <c r="C262" i="4"/>
  <c r="C259" i="4"/>
  <c r="C271" i="4"/>
  <c r="C276" i="4"/>
  <c r="C265" i="4"/>
  <c r="C261" i="4"/>
  <c r="C266" i="4"/>
  <c r="C282" i="4"/>
  <c r="C280" i="4"/>
  <c r="C269" i="4"/>
  <c r="C272" i="4"/>
  <c r="C283" i="4"/>
  <c r="D283" i="4" s="1"/>
  <c r="G283" i="4" s="1" a="1"/>
  <c r="G283" i="4" s="1"/>
  <c r="C277" i="4"/>
  <c r="C264" i="4"/>
  <c r="C279" i="4"/>
  <c r="C274" i="4"/>
  <c r="C273" i="4"/>
  <c r="C278" i="4"/>
  <c r="C267" i="4"/>
  <c r="C260" i="4"/>
  <c r="C270" i="4"/>
  <c r="C281" i="4"/>
  <c r="C263" i="4"/>
  <c r="E262" i="4" l="1"/>
  <c r="D262" i="4"/>
  <c r="G262" i="4" s="1" a="1"/>
  <c r="G262" i="4" s="1"/>
  <c r="E281" i="4"/>
  <c r="D281" i="4"/>
  <c r="G281" i="4" s="1" a="1"/>
  <c r="G281" i="4" s="1"/>
  <c r="E261" i="4"/>
  <c r="D261" i="4"/>
  <c r="G261" i="4" s="1" a="1"/>
  <c r="G261" i="4" s="1"/>
  <c r="D265" i="4"/>
  <c r="G265" i="4" s="1" a="1"/>
  <c r="G265" i="4" s="1"/>
  <c r="E265" i="4"/>
  <c r="E276" i="4"/>
  <c r="D276" i="4"/>
  <c r="G276" i="4" s="1" a="1"/>
  <c r="G276" i="4" s="1"/>
  <c r="D272" i="4"/>
  <c r="G272" i="4" s="1" a="1"/>
  <c r="G272" i="4" s="1"/>
  <c r="E272" i="4"/>
  <c r="E259" i="4"/>
  <c r="D259" i="4"/>
  <c r="G259" i="4" s="1" a="1"/>
  <c r="G259" i="4" s="1"/>
  <c r="E280" i="4"/>
  <c r="D280" i="4"/>
  <c r="G280" i="4" s="1" a="1"/>
  <c r="G280" i="4" s="1"/>
  <c r="E274" i="4"/>
  <c r="D274" i="4"/>
  <c r="G274" i="4" s="1" a="1"/>
  <c r="G274" i="4" s="1"/>
  <c r="D282" i="4"/>
  <c r="G282" i="4" s="1" a="1"/>
  <c r="G282" i="4" s="1"/>
  <c r="E282" i="4"/>
  <c r="D268" i="4"/>
  <c r="G268" i="4" s="1" a="1"/>
  <c r="G268" i="4" s="1"/>
  <c r="E268" i="4"/>
  <c r="E264" i="4"/>
  <c r="D264" i="4"/>
  <c r="G264" i="4" s="1" a="1"/>
  <c r="G264" i="4" s="1"/>
  <c r="D270" i="4"/>
  <c r="G270" i="4" s="1" a="1"/>
  <c r="G270" i="4" s="1"/>
  <c r="E270" i="4"/>
  <c r="E277" i="4"/>
  <c r="D277" i="4"/>
  <c r="G277" i="4" s="1" a="1"/>
  <c r="G277" i="4" s="1"/>
  <c r="E260" i="4"/>
  <c r="D260" i="4"/>
  <c r="G260" i="4" s="1" a="1"/>
  <c r="G260" i="4" s="1"/>
  <c r="E267" i="4"/>
  <c r="D267" i="4"/>
  <c r="G267" i="4" s="1" a="1"/>
  <c r="G267" i="4" s="1"/>
  <c r="E271" i="4"/>
  <c r="D271" i="4"/>
  <c r="G271" i="4" s="1" a="1"/>
  <c r="G271" i="4" s="1"/>
  <c r="F270" i="4" s="1"/>
  <c r="E278" i="4"/>
  <c r="D278" i="4"/>
  <c r="G278" i="4" s="1" a="1"/>
  <c r="G278" i="4" s="1"/>
  <c r="F277" i="4" s="1"/>
  <c r="D269" i="4"/>
  <c r="G269" i="4" s="1" a="1"/>
  <c r="G269" i="4" s="1"/>
  <c r="F268" i="4" s="1"/>
  <c r="E269" i="4"/>
  <c r="E273" i="4"/>
  <c r="D273" i="4"/>
  <c r="G273" i="4" s="1" a="1"/>
  <c r="G273" i="4" s="1"/>
  <c r="D263" i="4"/>
  <c r="G263" i="4" s="1" a="1"/>
  <c r="G263" i="4" s="1"/>
  <c r="F262" i="4" s="1"/>
  <c r="E263" i="4"/>
  <c r="D279" i="4"/>
  <c r="G279" i="4" s="1" a="1"/>
  <c r="G279" i="4" s="1"/>
  <c r="E279" i="4"/>
  <c r="D266" i="4"/>
  <c r="G266" i="4" s="1" a="1"/>
  <c r="G266" i="4" s="1"/>
  <c r="E266" i="4"/>
  <c r="E275" i="4"/>
  <c r="D275" i="4"/>
  <c r="G275" i="4" s="1" a="1"/>
  <c r="G275" i="4" s="1"/>
  <c r="F274" i="4" s="1"/>
  <c r="F276" i="4" l="1"/>
  <c r="F280" i="4"/>
  <c r="F264" i="4"/>
  <c r="F267" i="4"/>
  <c r="F271" i="4"/>
  <c r="F273" i="4"/>
  <c r="F259" i="4"/>
  <c r="F281" i="4"/>
  <c r="F261" i="4"/>
  <c r="F265" i="4"/>
  <c r="F278" i="4"/>
  <c r="F275" i="4"/>
  <c r="F269" i="4"/>
  <c r="F260" i="4"/>
  <c r="F272" i="4"/>
  <c r="F266" i="4"/>
  <c r="F263" i="4"/>
  <c r="F279" i="4"/>
  <c r="F282"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<sst xmlns="http://schemas.openxmlformats.org/spreadsheetml/2006/main" count="301" uniqueCount="254">
  <si>
    <t>Counts of Random Events with Trend and Seasonality</t>
  </si>
  <si>
    <t>ModelRisk example  ·  General use  ·  GU-08</t>
  </si>
  <si>
    <t>How many car crashes will there be next year, week by week?  Random events with a trend, seasons and a new law.</t>
  </si>
  <si>
    <t>Next:  Inputs  ▸</t>
  </si>
  <si>
    <t>Model card</t>
  </si>
  <si>
    <t>Industry</t>
  </si>
  <si>
    <t>General use</t>
  </si>
  <si>
    <t>Difficulty</t>
  </si>
  <si>
    <t>★★☆☆☆   A weekly Poisson series whose rate follows a trend, a seasonal pattern and a possible step change.</t>
  </si>
  <si>
    <t>Business question</t>
  </si>
  <si>
    <t>A motor insurer needs next year's number of car crashes in the country, week by week. Crashes grow by about 10% a year, peak in winter, and a road-safety law, if it passes, will cut them from the week it takes effect. How many crashes should the insurer expect, how widely can the year's total vary, and how much of that is down to the law?</t>
  </si>
  <si>
    <t>Who it is for</t>
  </si>
  <si>
    <t>Anyone forecasting counts of random events over time: claims, accidents, failures, arrivals, sales of a slow-moving product.</t>
  </si>
  <si>
    <t>Main outputs</t>
  </si>
  <si>
    <t>Crashes in the year at P10 / median / P90 against the expected number without the law · week-by-week bands · the crashes the law avoids · how much of the year's uncertainty comes from the law.</t>
  </si>
  <si>
    <t>ModelRisk techniques</t>
  </si>
  <si>
    <t>A Poisson count per week (VosePoisson) whose expected value is trend × seasonal index × law factor · a step change that may happen (VoseBernoulli) in an uncertain week (VoseStepUniform) by an uncertain amount (VosePERT) · output ranges for the Results Viewer's time-series view (the range arguments of VoseOutput).</t>
  </si>
  <si>
    <t>File</t>
  </si>
  <si>
    <t>GU-08 Counts of random events with trend and seasonality  ·  Version 1.0  ·  October 2026  ·  re-issues the examples Poisson Series and Seasonal Poisson Random Walk  ·  built with ModelRisk 10</t>
  </si>
  <si>
    <t>The business question</t>
  </si>
  <si>
    <t>An insurer covers motor accidents across the country, about a hundred crashes a week at the start of the year, a number that grows by about 10% a year. Crashes follow the seasons: half as many again in midwinter, a quarter fewer in summer. Parliament is debating a road-safety law, with a 70% chance of passing; if it does, it takes effect in a week between the 23rd and the 26th and cuts crashes by 5% to 15% from then on. Within each week crashes happen at random, so the number is Poisson around its expected value. The insurer wants the year's total and its weekly pattern, for reserving and for staffing its claims centre.</t>
  </si>
  <si>
    <t>How the model works</t>
  </si>
  <si>
    <t>Three sheets after this one, read from left to right. Each one feeds the next.</t>
  </si>
  <si>
    <t>1  Inputs</t>
  </si>
  <si>
    <t>The weekly number of crashes at the start of the year and its annual growth, and the law: its chance of passing, the weeks in which it could take effect, and its effect as a PERT.</t>
  </si>
  <si>
    <t>2  Weeks</t>
  </si>
  <si>
    <t>Each week's expected crashes are the trend × the seasonal index × the law factor, which is 1 until the law applies. The law passes with its probability (VoseBernoulli) in a week drawn from its window (VoseStepUniform). Each week's count is Poisson around its expected value.</t>
  </si>
  <si>
    <t>3  Results</t>
  </si>
  <si>
    <t>The year's total against the expected number without the law, bands for every week, and the crashes avoided by the law.</t>
  </si>
  <si>
    <t>How to use it</t>
  </si>
  <si>
    <t>Step 1</t>
  </si>
  <si>
    <t>Set the starting level, the growth and the law on the Inputs sheet.</t>
  </si>
  <si>
    <t>Step 2</t>
  </si>
  <si>
    <t>Replace the seasonal indices on the Weeks sheet with your own: they should average 1.</t>
  </si>
  <si>
    <t>Step 3</t>
  </si>
  <si>
    <t>Run a simulation from the ModelRisk ribbon (10,000 samples with a fixed seed are set).</t>
  </si>
  <si>
    <t>Step 4</t>
  </si>
  <si>
    <t>Open the Results Viewer's time-series view of 'Crashes by week' for more charts.</t>
  </si>
  <si>
    <t>Workbook map</t>
  </si>
  <si>
    <t>Inputs</t>
  </si>
  <si>
    <t>Crashes now, growth, and the law.</t>
  </si>
  <si>
    <t>Weeks</t>
  </si>
  <si>
    <t>The law this year and 52 weeks of expected and simulated crashes; outputs and checks.</t>
  </si>
  <si>
    <t>Results</t>
  </si>
  <si>
    <t>The year's total, weekly bands and the effect of the law.</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</si>
  <si>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</si>
  <si>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</si>
  <si>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</si>
  <si>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</si>
  <si>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</si>
  <si>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</si>
  <si>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</si>
  <si>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</si>
  <si>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</si>
  <si>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</si>
  <si>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</si>
  <si>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</si>
  <si>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Week 1 is the first week of the year.</t>
  </si>
  <si>
    <t>Seasonal index</t>
  </si>
  <si>
    <t>The week's crashes relative to an average week: 1.5 is 50% more.</t>
  </si>
  <si>
    <t>Trend</t>
  </si>
  <si>
    <t>Annual growth, applied as a constant weekly rate: (1 + growth)^(1/52) − 1.</t>
  </si>
  <si>
    <t>Key assumptions and limitations</t>
  </si>
  <si>
    <t>Poisson</t>
  </si>
  <si>
    <t>Crashes happen independently at a steady rate within a week, so a week's count is Poisson.</t>
  </si>
  <si>
    <t>Law</t>
  </si>
  <si>
    <t>Once the law applies, its effect holds for the rest of the year and is the same every week.</t>
  </si>
  <si>
    <t>Data</t>
  </si>
  <si>
    <t>The weekly seasonal pattern, starting level and growth are those of ModelRisk's earlier Poisson Series example; the law's chance, timing and effect those of its Seasonal Poisson Random Walk example.</t>
  </si>
  <si>
    <t>ModelRisk functions used</t>
  </si>
  <si>
    <t>VosePoisson</t>
  </si>
  <si>
    <t>Each week's number of crashes around its expected value.</t>
  </si>
  <si>
    <t>VoseBernoulli</t>
  </si>
  <si>
    <t>Whether the law passes.</t>
  </si>
  <si>
    <t>VoseStepUniform</t>
  </si>
  <si>
    <t>The week the law takes effect: each week of its window equally likely.</t>
  </si>
  <si>
    <t>VosePERT</t>
  </si>
  <si>
    <t>The law's effect on crashes.</t>
  </si>
  <si>
    <t>VoseOutput</t>
  </si>
  <si>
    <t>The 52 weekly counts as one output range ('Crashes by week') and the year's total.</t>
  </si>
  <si>
    <t>VoseSimMean, VoseSimPercentile</t>
  </si>
  <si>
    <t>Statistics of the simulation, and the weekly bands.</t>
  </si>
  <si>
    <t>Further reading</t>
  </si>
  <si>
    <t>Forecasting counts</t>
  </si>
  <si>
    <t>Vose, D. (2008). Risk Analysis: A Quantitative Guide, 3rd edition. Wiley: forecasting random events with trend and seasonality.</t>
  </si>
  <si>
    <t>© 2026 Vose Software   ·   www.vosesoftware.com   ·   An illustrative example: the figures are invented for teaching and do not describe a real company, project or asset.</t>
  </si>
  <si>
    <t>INPUTS   ·   Crashes now, their growth, and the law. The seasonal pattern is on the Weeks sheet. Change only the yellow cells.</t>
  </si>
  <si>
    <t>◂  About</t>
  </si>
  <si>
    <t>Next:  Weeks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</si>
  <si>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t>
  </si>
  <si>
    <t>1   Crashes now</t>
  </si>
  <si>
    <t>The level at the start of the year and its growth.</t>
  </si>
  <si>
    <t>Assumption</t>
  </si>
  <si>
    <t>Unit</t>
  </si>
  <si>
    <t>Value in model</t>
  </si>
  <si>
    <t>Uncertainty</t>
  </si>
  <si>
    <t>Basis / source (illustrative)</t>
  </si>
  <si>
    <t>Crashes per week at the start of the year  (an average week)</t>
  </si>
  <si>
    <t>crashes</t>
  </si>
  <si>
    <t>Fixed</t>
  </si>
  <si>
    <t>Before the seasonal index.</t>
  </si>
  <si>
    <t>Growth in crashes per year</t>
  </si>
  <si>
    <t>per year</t>
  </si>
  <si>
    <t>More cars, more driving.</t>
  </si>
  <si>
    <t>2   The road-safety law</t>
  </si>
  <si>
    <t>A law that may pass and cut crashes from the week it takes effect.</t>
  </si>
  <si>
    <t>Low</t>
  </si>
  <si>
    <t>Most likely</t>
  </si>
  <si>
    <t>High</t>
  </si>
  <si>
    <t>Mean</t>
  </si>
  <si>
    <t>Chance that the law passes</t>
  </si>
  <si>
    <t>probability</t>
  </si>
  <si>
    <t>Earliest week it could take effect</t>
  </si>
  <si>
    <t>week</t>
  </si>
  <si>
    <t>Latest week it could take effect</t>
  </si>
  <si>
    <t>Change in crashes once it applies</t>
  </si>
  <si>
    <t>change</t>
  </si>
  <si>
    <t>PERT</t>
  </si>
  <si>
    <t>A 5% to 15% cut, most likely 10%.</t>
  </si>
  <si>
    <t>WEEKS   ·   This year's law outcome and 52 weeks of expected and simulated crashes.</t>
  </si>
  <si>
    <t>◂  Inputs</t>
  </si>
  <si>
    <t>Next:  Results  ▸</t>
  </si>
  <si>
    <t>1   The law this year</t>
  </si>
  <si>
    <t>Whether it passes, the week it takes effect, and its effect.</t>
  </si>
  <si>
    <t>Law passes?  (1 = yes)</t>
  </si>
  <si>
    <t>1 / 0</t>
  </si>
  <si>
    <t>VoseBernoulli(chance)</t>
  </si>
  <si>
    <t>Week it takes effect</t>
  </si>
  <si>
    <t>VoseStepUniform(earliest, latest): each week of the window equally likely</t>
  </si>
  <si>
    <t>From the Inputs sheet (VosePERT)</t>
  </si>
  <si>
    <t>Growth per week</t>
  </si>
  <si>
    <t>per week</t>
  </si>
  <si>
    <t>The annual growth as a constant weekly rate</t>
  </si>
  <si>
    <t>2   Week by week</t>
  </si>
  <si>
    <t>Yellow cells are inputs: the seasonal index of each week. Expected crashes = trend × seasonal index × law factor; the count is Poisson around it.</t>
  </si>
  <si>
    <t>Week</t>
  </si>
  <si>
    <t>Law factor</t>
  </si>
  <si>
    <t>Expected crashes</t>
  </si>
  <si>
    <t>Crashes</t>
  </si>
  <si>
    <t>Expected without the law</t>
  </si>
  <si>
    <t>Avoided by the law</t>
  </si>
  <si>
    <t>How it is calculated</t>
  </si>
  <si>
    <t>× average</t>
  </si>
  <si>
    <t>×</t>
  </si>
  <si>
    <t>this iteration</t>
  </si>
  <si>
    <t>Trend = start × (1 + weekly growth)^(week − 1)</t>
  </si>
  <si>
    <t>Law factor = 1 + effect once the law applies (from its week on), else 1</t>
  </si>
  <si>
    <t>Expected crashes = trend × seasonal index × law factor</t>
  </si>
  <si>
    <t>Crashes = VosePoisson(expected), one output range 'Crashes by week'</t>
  </si>
  <si>
    <t>Avoided = expected without the law − expected with it</t>
  </si>
  <si>
    <t>Year</t>
  </si>
  <si>
    <t>Average seasonal index (should be 1), and the year's totals</t>
  </si>
  <si>
    <t>3   Value in this iteration</t>
  </si>
  <si>
    <t>Key outputs, recorded by ModelRisk at every sample (VoseOutput). Their statistics appear on the Results sheet.</t>
  </si>
  <si>
    <t>Output</t>
  </si>
  <si>
    <t>Value</t>
  </si>
  <si>
    <t>Meaning</t>
  </si>
  <si>
    <t>Crashes in the year</t>
  </si>
  <si>
    <t>Expected crashes without the law</t>
  </si>
  <si>
    <t>The same in every iteration.</t>
  </si>
  <si>
    <t>Crashes avoided by the law  (expected)</t>
  </si>
  <si>
    <t>0 when the law does not pass.</t>
  </si>
  <si>
    <t>4   Model checks</t>
  </si>
  <si>
    <t>Should all read OK. A CHECK means an input has been set outside the range the model is built for.</t>
  </si>
  <si>
    <t>The seasonal indices average 1</t>
  </si>
  <si>
    <t>The law's window lies within the year, earliest ≤ latest</t>
  </si>
  <si>
    <t>RESULTS   ·   Filled in automatically from the last simulation. Run a simulation after changing any input.</t>
  </si>
  <si>
    <t>◂  Weeks</t>
  </si>
  <si>
    <t>1   Crashes in the year</t>
  </si>
  <si>
    <t>Crashes per week — 10th / 50th / 90th percentile band</t>
  </si>
  <si>
    <t>The year's total against the number expected without the law.</t>
  </si>
  <si>
    <t>Measure</t>
  </si>
  <si>
    <t>Mean crashes in the year</t>
  </si>
  <si>
    <t>Chance that the law passes  (Inputs sheet)</t>
  </si>
  <si>
    <t>Mean crashes avoided by the law</t>
  </si>
  <si>
    <t>Standard deviation of the year's total</t>
  </si>
  <si>
    <t>Standard deviation, Poisson noise alone</t>
  </si>
  <si>
    <t>10th pct</t>
  </si>
  <si>
    <t>Median</t>
  </si>
  <si>
    <t>90th pct</t>
  </si>
  <si>
    <t>The year's total</t>
  </si>
  <si>
    <t>2   How to read these results</t>
  </si>
  <si>
    <t>•  Each week's crashes are Poisson around an expected number that grows with the trend, rises in winter and falls in summer, and drops by 5% to 15% once the law applies. The weekly band is widest in winter, when more crashes are expected.</t>
  </si>
  <si>
    <t>•  The law passes in seven years out of ten and then avoids nearly 300 crashes; on average it avoids about 200.</t>
  </si>
  <si>
    <t>•  The year's total varies more than Poisson randomness alone would make it: its standard deviation is about twice the square root of the expected number. The extra comes from the law, which is why the histogram has two humps: years with the law and years without it.</t>
  </si>
  <si>
    <t>•  The 52 weekly counts are one output range, 'Crashes by week': the Results Viewer can show them as a time series.</t>
  </si>
  <si>
    <t>Chart data</t>
  </si>
  <si>
    <t>Statistics of the last simulation behind the charts and the ranking above. Grouped: click + in the left margin to show them.</t>
  </si>
  <si>
    <t>Cumulative probability</t>
  </si>
  <si>
    <t>Exceedance</t>
  </si>
  <si>
    <t>Total</t>
  </si>
  <si>
    <t>Period</t>
  </si>
  <si>
    <t>10th percentile</t>
  </si>
  <si>
    <t>90th percentile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</si>
  <si>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</si>
  <si>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</si>
  <si>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</si>
  <si>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</si>
  <si>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</si>
  <si>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</si>
  <si>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</si>
  <si>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</si>
  <si>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</si>
  <si>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</si>
  <si>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</si>
  <si>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</si>
  <si>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</si>
  <si>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</si>
  <si>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</si>
  <si>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</si>
  <si>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</si>
  <si>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</si>
  <si>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</si>
  <si>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</si>
  <si>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</si>
  <si>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</si>
  <si>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</si>
  <si>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</si>
  <si>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</si>
  <si>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</si>
  <si>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</si>
  <si>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</si>
  <si>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</si>
  <si>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</si>
  <si>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</si>
  <si>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</si>
  <si>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</si>
  <si>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</si>
  <si>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</si>
  <si>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</si>
  <si>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</si>
  <si>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</si>
  <si>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</si>
  <si>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</si>
  <si>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</si>
  <si>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</si>
  <si>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</si>
  <si>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</si>
  <si>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</si>
  <si>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</si>
  <si>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</si>
  <si>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</si>
  <si>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</si>
  <si>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</si>
  <si>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</si>
  <si>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</si>
  <si>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Percentiles: Total</t>
  </si>
  <si>
    <t>Histogram: Total</t>
  </si>
  <si>
    <t>Edge</t>
  </si>
  <si>
    <t>Index</t>
  </si>
  <si>
    <t>Mid-point</t>
  </si>
  <si>
    <t>Probability</t>
  </si>
  <si>
    <t>Below edge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</si>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</sst>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_);\(#,##0\);&quot;–&quot;_)"/>
    <numFmt numFmtId="165" formatCode="\+0%;\-0%;0%"/>
    <numFmt numFmtId="166" formatCode="0.000%"/>
    <numFmt numFmtId="167" formatCode="0.000"/>
    <numFmt numFmtId="168" formatCode="#,##0.0_);\(#,##0.0\);&quot;–&quot;_)"/>
    <numFmt numFmtId="169" formatCode="#,##0_);\(#,##0\);&quot;–&quot;_);&quot;–&quot;"/>
    <numFmt numFmtId="170" formatCode="0.0%"/>
  </numFmts>
  <fonts count="25"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b/>
      <sz val="10"/>
      <color rgb="FF15803D"/>
      <name val="Calibri"/>
    </font>
    <font>
      <sz val="10"/>
      <color rgb="FF3F5876"/>
      <name val="Calibri"/>
    </font>
    <font>
      <b/>
      <sz val="13"/>
      <color rgb="FF0E4F92"/>
      <name val="Calibri"/>
    </font>
    <font>
      <sz val="9"/>
      <color rgb="FF8AA0BA"/>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3F5876"/>
      </top>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74">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9" fontId="1" fillId="2" borderId="7" xfId="1" applyNumberFormat="1" applyBorder="1">
      <alignment horizontal="right" vertical="center"/>
    </xf>
    <xf numFmtId="1" fontId="1" fillId="2" borderId="7" xfId="1" applyNumberFormat="1" applyBorder="1">
      <alignment horizontal="right" vertical="center"/>
    </xf>
    <xf numFmtId="165" fontId="2" fillId="3" borderId="7" xfId="2" applyNumberFormat="1" applyBorder="1">
      <alignment horizontal="right" vertical="center"/>
    </xf>
    <xf numFmtId="165" fontId="1" fillId="2" borderId="7" xfId="1" applyNumberFormat="1" applyBorder="1">
      <alignment horizontal="right" vertical="center"/>
    </xf>
    <xf numFmtId="165" fontId="3" fillId="0" borderId="8" xfId="3" applyNumberFormat="1" applyBorder="1">
      <alignment horizontal="right" vertical="center"/>
    </xf>
    <xf numFmtId="1" fontId="2" fillId="3" borderId="7" xfId="2" applyNumberFormat="1" applyBorder="1">
      <alignment horizontal="right" vertical="center"/>
    </xf>
    <xf numFmtId="166" fontId="3" fillId="0" borderId="8" xfId="3" applyNumberFormat="1" applyBorder="1">
      <alignment horizontal="right" vertical="center"/>
    </xf>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0" fontId="0" fillId="7" borderId="2" xfId="0" applyFill="1" applyBorder="1"/>
    <xf numFmtId="0" fontId="19" fillId="7" borderId="4" xfId="0" applyFont="1" applyFill="1" applyBorder="1" applyAlignment="1">
      <alignment horizontal="right" vertical="center"/>
    </xf>
    <xf numFmtId="0" fontId="12" fillId="0" borderId="6" xfId="0" applyFont="1" applyBorder="1" applyAlignment="1">
      <alignment horizontal="left" vertical="center" indent="1"/>
    </xf>
    <xf numFmtId="167" fontId="1" fillId="2" borderId="7" xfId="1" applyNumberFormat="1" applyBorder="1">
      <alignment horizontal="right" vertical="center"/>
    </xf>
    <xf numFmtId="168" fontId="3" fillId="0" borderId="8" xfId="3" applyNumberFormat="1" applyBorder="1">
      <alignment horizontal="right" vertical="center"/>
    </xf>
    <xf numFmtId="167" fontId="3" fillId="0" borderId="8" xfId="3" applyNumberFormat="1" applyBorder="1">
      <alignment horizontal="right" vertical="center"/>
    </xf>
    <xf numFmtId="164" fontId="4" fillId="4" borderId="9" xfId="4" applyNumberFormat="1" applyBorder="1">
      <alignment horizontal="right" vertical="center"/>
    </xf>
    <xf numFmtId="0" fontId="12" fillId="0" borderId="10" xfId="0" applyFont="1" applyBorder="1" applyAlignment="1">
      <alignment horizontal="left" vertical="center" indent="1"/>
    </xf>
    <xf numFmtId="167" fontId="3" fillId="0" borderId="10" xfId="3" applyNumberFormat="1" applyBorder="1">
      <alignment horizontal="right" vertical="center"/>
    </xf>
    <xf numFmtId="0" fontId="0" fillId="0" borderId="10" xfId="0" applyBorder="1"/>
    <xf numFmtId="164" fontId="12" fillId="0" borderId="10" xfId="3" applyNumberFormat="1" applyFont="1" applyBorder="1">
      <alignment horizontal="right" vertical="center"/>
    </xf>
    <xf numFmtId="0" fontId="18" fillId="0" borderId="10" xfId="0" applyFont="1" applyBorder="1" applyAlignment="1">
      <alignment horizontal="left" vertical="center" indent="1"/>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4" fontId="3" fillId="0" borderId="8" xfId="3" applyNumberFormat="1" applyBorder="1">
      <alignment horizontal="right" vertical="center"/>
    </xf>
    <xf numFmtId="0" fontId="20"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4" fillId="0" borderId="5" xfId="0" applyFont="1" applyBorder="1"/>
    <xf numFmtId="0" fontId="21" fillId="0" borderId="6" xfId="0" applyFont="1" applyBorder="1" applyAlignment="1">
      <alignment horizontal="left" vertical="center" indent="1"/>
    </xf>
    <xf numFmtId="169" fontId="22" fillId="5" borderId="7" xfId="5" applyNumberFormat="1" applyFont="1" applyBorder="1">
      <alignment horizontal="right" vertical="center"/>
    </xf>
    <xf numFmtId="9" fontId="3" fillId="0" borderId="8" xfId="3" applyNumberFormat="1" applyBorder="1">
      <alignment horizontal="right" vertical="center"/>
    </xf>
    <xf numFmtId="169"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21" fillId="0" borderId="0" xfId="0" applyFont="1" applyAlignment="1">
      <alignment horizontal="left" vertical="center" indent="1"/>
    </xf>
    <xf numFmtId="170" fontId="3" fillId="0" borderId="2" xfId="3" applyNumberFormat="1">
      <alignment horizontal="right" vertical="center"/>
    </xf>
    <xf numFmtId="0" fontId="23" fillId="0" borderId="0" xfId="0" applyFont="1"/>
    <xf numFmtId="1"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7">
    <dxf>
      <font>
        <color rgb="FF8AA0BA"/>
      </font>
    </dxf>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strRef>
              <c:f>Results!$B$102:$B$153</c:f>
              <c:strCache>
                <c:ptCount val="5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strCache>
            </c:strRef>
          </c:cat>
          <c:val>
            <c:numRef>
              <c:f>Results!$E$102:$E$153</c:f>
              <c:numCache>
                <c:formatCode>#,##0.00</c:formatCode>
                <c:ptCount val="52"/>
                <c:pt idx="0">
                  <c:v>165</c:v>
                </c:pt>
                <c:pt idx="1">
                  <c:v>179</c:v>
                </c:pt>
                <c:pt idx="2">
                  <c:v>184</c:v>
                </c:pt>
                <c:pt idx="3">
                  <c:v>182</c:v>
                </c:pt>
                <c:pt idx="4">
                  <c:v>172</c:v>
                </c:pt>
                <c:pt idx="5">
                  <c:v>161</c:v>
                </c:pt>
                <c:pt idx="6">
                  <c:v>149</c:v>
                </c:pt>
                <c:pt idx="7">
                  <c:v>139</c:v>
                </c:pt>
                <c:pt idx="8">
                  <c:v>132</c:v>
                </c:pt>
                <c:pt idx="9">
                  <c:v>123</c:v>
                </c:pt>
                <c:pt idx="10">
                  <c:v>117</c:v>
                </c:pt>
                <c:pt idx="11">
                  <c:v>111</c:v>
                </c:pt>
                <c:pt idx="12">
                  <c:v>106</c:v>
                </c:pt>
                <c:pt idx="13">
                  <c:v>99</c:v>
                </c:pt>
                <c:pt idx="14">
                  <c:v>94</c:v>
                </c:pt>
                <c:pt idx="15">
                  <c:v>92</c:v>
                </c:pt>
                <c:pt idx="16">
                  <c:v>90</c:v>
                </c:pt>
                <c:pt idx="17">
                  <c:v>88</c:v>
                </c:pt>
                <c:pt idx="18">
                  <c:v>87</c:v>
                </c:pt>
                <c:pt idx="19">
                  <c:v>87</c:v>
                </c:pt>
                <c:pt idx="20">
                  <c:v>88</c:v>
                </c:pt>
                <c:pt idx="21">
                  <c:v>88</c:v>
                </c:pt>
                <c:pt idx="22">
                  <c:v>88</c:v>
                </c:pt>
                <c:pt idx="23">
                  <c:v>89</c:v>
                </c:pt>
                <c:pt idx="24">
                  <c:v>91</c:v>
                </c:pt>
                <c:pt idx="25">
                  <c:v>90</c:v>
                </c:pt>
                <c:pt idx="26">
                  <c:v>90</c:v>
                </c:pt>
                <c:pt idx="27">
                  <c:v>91</c:v>
                </c:pt>
                <c:pt idx="28">
                  <c:v>91</c:v>
                </c:pt>
                <c:pt idx="29">
                  <c:v>92</c:v>
                </c:pt>
                <c:pt idx="30">
                  <c:v>93</c:v>
                </c:pt>
                <c:pt idx="31">
                  <c:v>94</c:v>
                </c:pt>
                <c:pt idx="32">
                  <c:v>94</c:v>
                </c:pt>
                <c:pt idx="33">
                  <c:v>95</c:v>
                </c:pt>
                <c:pt idx="34">
                  <c:v>96</c:v>
                </c:pt>
                <c:pt idx="35">
                  <c:v>96</c:v>
                </c:pt>
                <c:pt idx="36">
                  <c:v>97</c:v>
                </c:pt>
                <c:pt idx="37">
                  <c:v>98</c:v>
                </c:pt>
                <c:pt idx="38">
                  <c:v>99</c:v>
                </c:pt>
                <c:pt idx="39">
                  <c:v>100</c:v>
                </c:pt>
                <c:pt idx="40">
                  <c:v>101</c:v>
                </c:pt>
                <c:pt idx="41">
                  <c:v>101</c:v>
                </c:pt>
                <c:pt idx="42">
                  <c:v>103</c:v>
                </c:pt>
                <c:pt idx="43">
                  <c:v>107</c:v>
                </c:pt>
                <c:pt idx="44">
                  <c:v>111</c:v>
                </c:pt>
                <c:pt idx="45">
                  <c:v>118</c:v>
                </c:pt>
                <c:pt idx="46">
                  <c:v>125</c:v>
                </c:pt>
                <c:pt idx="47">
                  <c:v>134</c:v>
                </c:pt>
                <c:pt idx="48">
                  <c:v>145</c:v>
                </c:pt>
                <c:pt idx="49">
                  <c:v>154</c:v>
                </c:pt>
                <c:pt idx="50">
                  <c:v>163</c:v>
                </c:pt>
                <c:pt idx="51">
                  <c:v>173</c:v>
                </c:pt>
              </c:numCache>
            </c:numRef>
          </c:val>
          <c:smooth val="0"/>
          <c:extLst>
            <c:ext xmlns:c16="http://schemas.microsoft.com/office/drawing/2014/chart" uri="{C3380CC4-5D6E-409C-BE32-E72D297353CC}">
              <c16:uniqueId val="{00000000-005D-4B1C-BB13-2FC167D20610}"/>
            </c:ext>
          </c:extLst>
        </c:ser>
        <c:ser>
          <c:idx val="1"/>
          <c:order val="1"/>
          <c:tx>
            <c:v>Median</c:v>
          </c:tx>
          <c:spPr>
            <a:ln w="28575">
              <a:solidFill>
                <a:srgbClr val="0E4F92"/>
              </a:solidFill>
              <a:prstDash val="solid"/>
            </a:ln>
          </c:spPr>
          <c:marker>
            <c:symbol val="none"/>
          </c:marker>
          <c:cat>
            <c:strRef>
              <c:f>Results!$B$102:$B$153</c:f>
              <c:strCache>
                <c:ptCount val="5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strCache>
            </c:strRef>
          </c:cat>
          <c:val>
            <c:numRef>
              <c:f>Results!$D$102:$D$153</c:f>
              <c:numCache>
                <c:formatCode>#,##0.00</c:formatCode>
                <c:ptCount val="52"/>
                <c:pt idx="0">
                  <c:v>150</c:v>
                </c:pt>
                <c:pt idx="1">
                  <c:v>162</c:v>
                </c:pt>
                <c:pt idx="2">
                  <c:v>167</c:v>
                </c:pt>
                <c:pt idx="3">
                  <c:v>166</c:v>
                </c:pt>
                <c:pt idx="4">
                  <c:v>156</c:v>
                </c:pt>
                <c:pt idx="5">
                  <c:v>146</c:v>
                </c:pt>
                <c:pt idx="6">
                  <c:v>133</c:v>
                </c:pt>
                <c:pt idx="7">
                  <c:v>124</c:v>
                </c:pt>
                <c:pt idx="8">
                  <c:v>118</c:v>
                </c:pt>
                <c:pt idx="9">
                  <c:v>109</c:v>
                </c:pt>
                <c:pt idx="10">
                  <c:v>104</c:v>
                </c:pt>
                <c:pt idx="11">
                  <c:v>98</c:v>
                </c:pt>
                <c:pt idx="12">
                  <c:v>94</c:v>
                </c:pt>
                <c:pt idx="13">
                  <c:v>87</c:v>
                </c:pt>
                <c:pt idx="14">
                  <c:v>82</c:v>
                </c:pt>
                <c:pt idx="15">
                  <c:v>80</c:v>
                </c:pt>
                <c:pt idx="16">
                  <c:v>78</c:v>
                </c:pt>
                <c:pt idx="17">
                  <c:v>76</c:v>
                </c:pt>
                <c:pt idx="18">
                  <c:v>76</c:v>
                </c:pt>
                <c:pt idx="19">
                  <c:v>75</c:v>
                </c:pt>
                <c:pt idx="20">
                  <c:v>76</c:v>
                </c:pt>
                <c:pt idx="21">
                  <c:v>77</c:v>
                </c:pt>
                <c:pt idx="22">
                  <c:v>76</c:v>
                </c:pt>
                <c:pt idx="23">
                  <c:v>77</c:v>
                </c:pt>
                <c:pt idx="24">
                  <c:v>77</c:v>
                </c:pt>
                <c:pt idx="25">
                  <c:v>77</c:v>
                </c:pt>
                <c:pt idx="26">
                  <c:v>78</c:v>
                </c:pt>
                <c:pt idx="27">
                  <c:v>78</c:v>
                </c:pt>
                <c:pt idx="28">
                  <c:v>78</c:v>
                </c:pt>
                <c:pt idx="29">
                  <c:v>79</c:v>
                </c:pt>
                <c:pt idx="30">
                  <c:v>80</c:v>
                </c:pt>
                <c:pt idx="31">
                  <c:v>80</c:v>
                </c:pt>
                <c:pt idx="32">
                  <c:v>81</c:v>
                </c:pt>
                <c:pt idx="33">
                  <c:v>81</c:v>
                </c:pt>
                <c:pt idx="34">
                  <c:v>82</c:v>
                </c:pt>
                <c:pt idx="35">
                  <c:v>83</c:v>
                </c:pt>
                <c:pt idx="36">
                  <c:v>84</c:v>
                </c:pt>
                <c:pt idx="37">
                  <c:v>84</c:v>
                </c:pt>
                <c:pt idx="38">
                  <c:v>85</c:v>
                </c:pt>
                <c:pt idx="39">
                  <c:v>86</c:v>
                </c:pt>
                <c:pt idx="40">
                  <c:v>87</c:v>
                </c:pt>
                <c:pt idx="41">
                  <c:v>88</c:v>
                </c:pt>
                <c:pt idx="42">
                  <c:v>90</c:v>
                </c:pt>
                <c:pt idx="43">
                  <c:v>93</c:v>
                </c:pt>
                <c:pt idx="44">
                  <c:v>97</c:v>
                </c:pt>
                <c:pt idx="45">
                  <c:v>102</c:v>
                </c:pt>
                <c:pt idx="46">
                  <c:v>109</c:v>
                </c:pt>
                <c:pt idx="47">
                  <c:v>117</c:v>
                </c:pt>
                <c:pt idx="48">
                  <c:v>127</c:v>
                </c:pt>
                <c:pt idx="49">
                  <c:v>136</c:v>
                </c:pt>
                <c:pt idx="50">
                  <c:v>143</c:v>
                </c:pt>
                <c:pt idx="51">
                  <c:v>153</c:v>
                </c:pt>
              </c:numCache>
            </c:numRef>
          </c:val>
          <c:smooth val="0"/>
          <c:extLst>
            <c:ext xmlns:c16="http://schemas.microsoft.com/office/drawing/2014/chart" uri="{C3380CC4-5D6E-409C-BE32-E72D297353CC}">
              <c16:uniqueId val="{00000001-005D-4B1C-BB13-2FC167D20610}"/>
            </c:ext>
          </c:extLst>
        </c:ser>
        <c:ser>
          <c:idx val="2"/>
          <c:order val="2"/>
          <c:tx>
            <c:v>Mean</c:v>
          </c:tx>
          <c:spPr>
            <a:ln w="19050">
              <a:solidFill>
                <a:srgbClr val="B45309"/>
              </a:solidFill>
              <a:prstDash val="solid"/>
            </a:ln>
          </c:spPr>
          <c:marker>
            <c:symbol val="none"/>
          </c:marker>
          <c:cat>
            <c:strRef>
              <c:f>Results!$B$102:$B$153</c:f>
              <c:strCache>
                <c:ptCount val="5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strCache>
            </c:strRef>
          </c:cat>
          <c:val>
            <c:numRef>
              <c:f>Results!$F$102:$F$153</c:f>
              <c:numCache>
                <c:formatCode>#,##0.00</c:formatCode>
                <c:ptCount val="52"/>
                <c:pt idx="0">
                  <c:v>149.71483574178708</c:v>
                </c:pt>
                <c:pt idx="1">
                  <c:v>162.30326516325817</c:v>
                </c:pt>
                <c:pt idx="2">
                  <c:v>167.23241162058102</c:v>
                </c:pt>
                <c:pt idx="3">
                  <c:v>165.60213010650531</c:v>
                </c:pt>
                <c:pt idx="4">
                  <c:v>155.78288914445722</c:v>
                </c:pt>
                <c:pt idx="5">
                  <c:v>145.80299014950748</c:v>
                </c:pt>
                <c:pt idx="6">
                  <c:v>133.41237061853093</c:v>
                </c:pt>
                <c:pt idx="7">
                  <c:v>124.67253362668133</c:v>
                </c:pt>
                <c:pt idx="8">
                  <c:v>118.41507075353768</c:v>
                </c:pt>
                <c:pt idx="9">
                  <c:v>109.48922446122306</c:v>
                </c:pt>
                <c:pt idx="10">
                  <c:v>104.1855592779639</c:v>
                </c:pt>
                <c:pt idx="11">
                  <c:v>98.05200260013001</c:v>
                </c:pt>
                <c:pt idx="12">
                  <c:v>93.637231861593079</c:v>
                </c:pt>
                <c:pt idx="13">
                  <c:v>87.229711485574285</c:v>
                </c:pt>
                <c:pt idx="14">
                  <c:v>82.530026501325068</c:v>
                </c:pt>
                <c:pt idx="15">
                  <c:v>80.104505225261263</c:v>
                </c:pt>
                <c:pt idx="16">
                  <c:v>77.926996349817486</c:v>
                </c:pt>
                <c:pt idx="17">
                  <c:v>76.511075553777687</c:v>
                </c:pt>
                <c:pt idx="18">
                  <c:v>75.671033551677581</c:v>
                </c:pt>
                <c:pt idx="19">
                  <c:v>75.476973848692438</c:v>
                </c:pt>
                <c:pt idx="20">
                  <c:v>76.298164908245411</c:v>
                </c:pt>
                <c:pt idx="21">
                  <c:v>76.981149057452868</c:v>
                </c:pt>
                <c:pt idx="22">
                  <c:v>76.183809190459527</c:v>
                </c:pt>
                <c:pt idx="23">
                  <c:v>76.842492124606224</c:v>
                </c:pt>
                <c:pt idx="24">
                  <c:v>77.631431571578574</c:v>
                </c:pt>
                <c:pt idx="25">
                  <c:v>77.108505425271261</c:v>
                </c:pt>
                <c:pt idx="26">
                  <c:v>77.85724286214311</c:v>
                </c:pt>
                <c:pt idx="27">
                  <c:v>78.654482724136201</c:v>
                </c:pt>
                <c:pt idx="28">
                  <c:v>78.778138906945344</c:v>
                </c:pt>
                <c:pt idx="29">
                  <c:v>79.260263013150663</c:v>
                </c:pt>
                <c:pt idx="30">
                  <c:v>80.530426521326063</c:v>
                </c:pt>
                <c:pt idx="31">
                  <c:v>80.647632381619076</c:v>
                </c:pt>
                <c:pt idx="32">
                  <c:v>81.16165808290414</c:v>
                </c:pt>
                <c:pt idx="33">
                  <c:v>81.680134006700328</c:v>
                </c:pt>
                <c:pt idx="34">
                  <c:v>82.752837641882095</c:v>
                </c:pt>
                <c:pt idx="35">
                  <c:v>83.363368168408414</c:v>
                </c:pt>
                <c:pt idx="36">
                  <c:v>84.097654882744138</c:v>
                </c:pt>
                <c:pt idx="37">
                  <c:v>84.296314815740786</c:v>
                </c:pt>
                <c:pt idx="38">
                  <c:v>85.660683034151702</c:v>
                </c:pt>
                <c:pt idx="39">
                  <c:v>86.125906295314763</c:v>
                </c:pt>
                <c:pt idx="40">
                  <c:v>87.179208960448022</c:v>
                </c:pt>
                <c:pt idx="41">
                  <c:v>87.914395719785986</c:v>
                </c:pt>
                <c:pt idx="42">
                  <c:v>89.791839591979596</c:v>
                </c:pt>
                <c:pt idx="43">
                  <c:v>93.239261963098159</c:v>
                </c:pt>
                <c:pt idx="44">
                  <c:v>97.141257062853143</c:v>
                </c:pt>
                <c:pt idx="45">
                  <c:v>102.75108755437772</c:v>
                </c:pt>
                <c:pt idx="46">
                  <c:v>109.31296564828241</c:v>
                </c:pt>
                <c:pt idx="47">
                  <c:v>117.56532826641332</c:v>
                </c:pt>
                <c:pt idx="48">
                  <c:v>127.47367368368418</c:v>
                </c:pt>
                <c:pt idx="49">
                  <c:v>136.49117455872795</c:v>
                </c:pt>
                <c:pt idx="50">
                  <c:v>143.91099554977748</c:v>
                </c:pt>
                <c:pt idx="51">
                  <c:v>153.88244412220612</c:v>
                </c:pt>
              </c:numCache>
            </c:numRef>
          </c:val>
          <c:smooth val="0"/>
          <c:extLst>
            <c:ext xmlns:c16="http://schemas.microsoft.com/office/drawing/2014/chart" uri="{C3380CC4-5D6E-409C-BE32-E72D297353CC}">
              <c16:uniqueId val="{00000002-005D-4B1C-BB13-2FC167D20610}"/>
            </c:ext>
          </c:extLst>
        </c:ser>
        <c:ser>
          <c:idx val="3"/>
          <c:order val="3"/>
          <c:tx>
            <c:v>10th percentile</c:v>
          </c:tx>
          <c:spPr>
            <a:ln w="15875">
              <a:solidFill>
                <a:srgbClr val="0E4F92"/>
              </a:solidFill>
              <a:prstDash val="dash"/>
            </a:ln>
          </c:spPr>
          <c:marker>
            <c:symbol val="none"/>
          </c:marker>
          <c:cat>
            <c:strRef>
              <c:f>Results!$B$102:$B$153</c:f>
              <c:strCache>
                <c:ptCount val="52"/>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strCache>
            </c:strRef>
          </c:cat>
          <c:val>
            <c:numRef>
              <c:f>Results!$C$102:$C$153</c:f>
              <c:numCache>
                <c:formatCode>#,##0.00</c:formatCode>
                <c:ptCount val="52"/>
                <c:pt idx="0">
                  <c:v>134</c:v>
                </c:pt>
                <c:pt idx="1">
                  <c:v>146</c:v>
                </c:pt>
                <c:pt idx="2">
                  <c:v>151</c:v>
                </c:pt>
                <c:pt idx="3">
                  <c:v>149</c:v>
                </c:pt>
                <c:pt idx="4">
                  <c:v>140</c:v>
                </c:pt>
                <c:pt idx="5">
                  <c:v>130</c:v>
                </c:pt>
                <c:pt idx="6">
                  <c:v>119</c:v>
                </c:pt>
                <c:pt idx="7">
                  <c:v>110</c:v>
                </c:pt>
                <c:pt idx="8">
                  <c:v>104</c:v>
                </c:pt>
                <c:pt idx="9">
                  <c:v>96</c:v>
                </c:pt>
                <c:pt idx="10">
                  <c:v>91</c:v>
                </c:pt>
                <c:pt idx="11">
                  <c:v>86</c:v>
                </c:pt>
                <c:pt idx="12">
                  <c:v>81</c:v>
                </c:pt>
                <c:pt idx="13">
                  <c:v>75</c:v>
                </c:pt>
                <c:pt idx="14">
                  <c:v>71</c:v>
                </c:pt>
                <c:pt idx="15">
                  <c:v>69</c:v>
                </c:pt>
                <c:pt idx="16">
                  <c:v>67</c:v>
                </c:pt>
                <c:pt idx="17">
                  <c:v>66</c:v>
                </c:pt>
                <c:pt idx="18">
                  <c:v>65</c:v>
                </c:pt>
                <c:pt idx="19">
                  <c:v>65</c:v>
                </c:pt>
                <c:pt idx="20">
                  <c:v>65</c:v>
                </c:pt>
                <c:pt idx="21">
                  <c:v>66</c:v>
                </c:pt>
                <c:pt idx="22">
                  <c:v>64</c:v>
                </c:pt>
                <c:pt idx="23">
                  <c:v>65</c:v>
                </c:pt>
                <c:pt idx="24">
                  <c:v>65</c:v>
                </c:pt>
                <c:pt idx="25">
                  <c:v>65</c:v>
                </c:pt>
                <c:pt idx="26">
                  <c:v>66</c:v>
                </c:pt>
                <c:pt idx="27">
                  <c:v>67</c:v>
                </c:pt>
                <c:pt idx="28">
                  <c:v>66</c:v>
                </c:pt>
                <c:pt idx="29">
                  <c:v>67</c:v>
                </c:pt>
                <c:pt idx="30">
                  <c:v>68</c:v>
                </c:pt>
                <c:pt idx="31">
                  <c:v>68</c:v>
                </c:pt>
                <c:pt idx="32">
                  <c:v>69</c:v>
                </c:pt>
                <c:pt idx="33">
                  <c:v>69</c:v>
                </c:pt>
                <c:pt idx="34">
                  <c:v>70</c:v>
                </c:pt>
                <c:pt idx="35">
                  <c:v>70</c:v>
                </c:pt>
                <c:pt idx="36">
                  <c:v>71</c:v>
                </c:pt>
                <c:pt idx="37">
                  <c:v>71</c:v>
                </c:pt>
                <c:pt idx="38">
                  <c:v>73</c:v>
                </c:pt>
                <c:pt idx="39">
                  <c:v>73</c:v>
                </c:pt>
                <c:pt idx="40">
                  <c:v>74</c:v>
                </c:pt>
                <c:pt idx="41">
                  <c:v>75</c:v>
                </c:pt>
                <c:pt idx="42">
                  <c:v>76</c:v>
                </c:pt>
                <c:pt idx="43">
                  <c:v>80</c:v>
                </c:pt>
                <c:pt idx="44">
                  <c:v>83</c:v>
                </c:pt>
                <c:pt idx="45">
                  <c:v>89</c:v>
                </c:pt>
                <c:pt idx="46">
                  <c:v>94</c:v>
                </c:pt>
                <c:pt idx="47">
                  <c:v>102</c:v>
                </c:pt>
                <c:pt idx="48">
                  <c:v>111</c:v>
                </c:pt>
                <c:pt idx="49">
                  <c:v>119</c:v>
                </c:pt>
                <c:pt idx="50">
                  <c:v>126</c:v>
                </c:pt>
                <c:pt idx="51">
                  <c:v>136</c:v>
                </c:pt>
              </c:numCache>
            </c:numRef>
          </c:val>
          <c:smooth val="0"/>
          <c:extLst>
            <c:ext xmlns:c16="http://schemas.microsoft.com/office/drawing/2014/chart" uri="{C3380CC4-5D6E-409C-BE32-E72D297353CC}">
              <c16:uniqueId val="{00000003-005D-4B1C-BB13-2FC167D2061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tickLblSkip val="4"/>
        <c:tickMarkSkip val="4"/>
        <c:noMultiLvlLbl val="1"/>
      </c:catAx>
      <c:valAx>
        <c:axId val="100"/>
        <c:scaling>
          <c:orientation val="minMax"/>
          <c:min val="0"/>
        </c:scaling>
        <c:delete val="0"/>
        <c:axPos val="l"/>
        <c:majorGridlines>
          <c:spPr>
            <a:ln>
              <a:solidFill>
                <a:srgbClr val="E4E9F0"/>
              </a:solidFill>
              <a:prstDash val="solid"/>
            </a:ln>
          </c:spPr>
        </c:majorGridlines>
        <c:title>
          <c:tx>
            <c:rich>
              <a:bodyPr/>
              <a:lstStyle/>
              <a:p>
                <a:pPr>
                  <a:defRPr/>
                </a:pPr>
                <a:r>
                  <a:rPr lang="en-US"/>
                  <a:t>Crashes per week</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Crashes in the year</c:v>
          </c:tx>
          <c:spPr>
            <a:solidFill>
              <a:srgbClr val="0E4F92"/>
            </a:solidFill>
            <a:ln>
              <a:noFill/>
              <a:prstDash val="solid"/>
            </a:ln>
          </c:spPr>
          <c:invertIfNegative val="1"/>
          <c:cat>
            <c:numRef>
              <c:f>Results!$E$259:$E$282</c:f>
              <c:numCache>
                <c:formatCode>#,##0.00</c:formatCode>
                <c:ptCount val="24"/>
                <c:pt idx="0">
                  <c:v>4947.7083333333339</c:v>
                </c:pt>
                <c:pt idx="1">
                  <c:v>4975.125</c:v>
                </c:pt>
                <c:pt idx="2">
                  <c:v>5002.5416666666661</c:v>
                </c:pt>
                <c:pt idx="3">
                  <c:v>5029.9583333333339</c:v>
                </c:pt>
                <c:pt idx="4">
                  <c:v>5057.375</c:v>
                </c:pt>
                <c:pt idx="5">
                  <c:v>5084.7916666666661</c:v>
                </c:pt>
                <c:pt idx="6">
                  <c:v>5112.2083333333339</c:v>
                </c:pt>
                <c:pt idx="7">
                  <c:v>5139.625</c:v>
                </c:pt>
                <c:pt idx="8">
                  <c:v>5167.0416666666661</c:v>
                </c:pt>
                <c:pt idx="9">
                  <c:v>5194.4583333333339</c:v>
                </c:pt>
                <c:pt idx="10">
                  <c:v>5221.875</c:v>
                </c:pt>
                <c:pt idx="11">
                  <c:v>5249.2916666666661</c:v>
                </c:pt>
                <c:pt idx="12">
                  <c:v>5276.7083333333339</c:v>
                </c:pt>
                <c:pt idx="13">
                  <c:v>5304.125</c:v>
                </c:pt>
                <c:pt idx="14">
                  <c:v>5331.5416666666661</c:v>
                </c:pt>
                <c:pt idx="15">
                  <c:v>5358.9583333333339</c:v>
                </c:pt>
                <c:pt idx="16">
                  <c:v>5386.375</c:v>
                </c:pt>
                <c:pt idx="17">
                  <c:v>5413.7916666666661</c:v>
                </c:pt>
                <c:pt idx="18">
                  <c:v>5441.2083333333339</c:v>
                </c:pt>
                <c:pt idx="19">
                  <c:v>5468.625</c:v>
                </c:pt>
                <c:pt idx="20">
                  <c:v>5496.0416666666661</c:v>
                </c:pt>
                <c:pt idx="21">
                  <c:v>5523.4583333333339</c:v>
                </c:pt>
                <c:pt idx="22">
                  <c:v>5550.875</c:v>
                </c:pt>
                <c:pt idx="23">
                  <c:v>5578.2916666666661</c:v>
                </c:pt>
              </c:numCache>
            </c:numRef>
          </c:cat>
          <c:val>
            <c:numRef>
              <c:f>Results!$F$259:$F$282</c:f>
              <c:numCache>
                <c:formatCode>0.0%</c:formatCode>
                <c:ptCount val="24"/>
                <c:pt idx="0">
                  <c:v>6.0069444444445707E-3</c:v>
                </c:pt>
                <c:pt idx="1">
                  <c:v>1.2638888888888573E-2</c:v>
                </c:pt>
                <c:pt idx="2">
                  <c:v>2.2604166666666856E-2</c:v>
                </c:pt>
                <c:pt idx="3">
                  <c:v>3.8194444444444947E-2</c:v>
                </c:pt>
                <c:pt idx="4">
                  <c:v>4.9722222222221127E-2</c:v>
                </c:pt>
                <c:pt idx="5">
                  <c:v>6.416666666666726E-2</c:v>
                </c:pt>
                <c:pt idx="6">
                  <c:v>7.64583333333341E-2</c:v>
                </c:pt>
                <c:pt idx="7">
                  <c:v>8.2986111111109317E-2</c:v>
                </c:pt>
                <c:pt idx="8">
                  <c:v>8.4722222222223253E-2</c:v>
                </c:pt>
                <c:pt idx="9">
                  <c:v>7.041666666666746E-2</c:v>
                </c:pt>
                <c:pt idx="10">
                  <c:v>6.4249999999998586E-2</c:v>
                </c:pt>
                <c:pt idx="11">
                  <c:v>5.42619047619054E-2</c:v>
                </c:pt>
                <c:pt idx="12">
                  <c:v>4.0145502645502984E-2</c:v>
                </c:pt>
                <c:pt idx="13">
                  <c:v>2.9120370370369741E-2</c:v>
                </c:pt>
                <c:pt idx="14">
                  <c:v>2.498737373737403E-2</c:v>
                </c:pt>
                <c:pt idx="15">
                  <c:v>2.6984848484848722E-2</c:v>
                </c:pt>
                <c:pt idx="16">
                  <c:v>3.4595238095237457E-2</c:v>
                </c:pt>
                <c:pt idx="17">
                  <c:v>4.3738095238095576E-2</c:v>
                </c:pt>
                <c:pt idx="18">
                  <c:v>4.5527777777778278E-2</c:v>
                </c:pt>
                <c:pt idx="19">
                  <c:v>4.3888888888888089E-2</c:v>
                </c:pt>
                <c:pt idx="20">
                  <c:v>3.187500000000032E-2</c:v>
                </c:pt>
                <c:pt idx="21">
                  <c:v>2.0578703703703849E-2</c:v>
                </c:pt>
                <c:pt idx="22">
                  <c:v>1.3470209339774275E-2</c:v>
                </c:pt>
                <c:pt idx="23">
                  <c:v>8.6594202898552242E-3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9A1E-4339-B2E7-07FDD99C351F}"/>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Crashes in the year</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52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376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1"/>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ht="26.25" x14ac:dyDescent="0.45">
      <c r="B13" s="9" t="s">
        <v>17</v>
      </c>
      <c r="C13" s="10" t="s">
        <v>18</v>
      </c>
    </row>
    <row r="14" spans="1:4" ht="12" customHeight="1" x14ac:dyDescent="0.45"/>
    <row r="15" spans="1:4" ht="22.05" customHeight="1" x14ac:dyDescent="0.5">
      <c r="B15" s="7" t="s">
        <v>19</v>
      </c>
      <c r="C15" s="8"/>
    </row>
    <row r="16" spans="1:4" ht="57" customHeight="1" x14ac:dyDescent="0.45">
      <c r="B16" s="71" t="s">
        <v>20</v>
      </c>
      <c r="C16" s="70"/>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26.25" x14ac:dyDescent="0.45">
      <c r="B29" s="9" t="s">
        <v>25</v>
      </c>
      <c r="C29" s="10" t="s">
        <v>26</v>
      </c>
    </row>
    <row r="30" spans="2:3"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41</v>
      </c>
      <c r="C51" s="10" t="s">
        <v>57</v>
      </c>
    </row>
    <row r="52" spans="2:3" x14ac:dyDescent="0.45">
      <c r="B52" s="9" t="s">
        <v>58</v>
      </c>
      <c r="C52" s="10" t="s">
        <v>59</v>
      </c>
    </row>
    <row r="53" spans="2:3" x14ac:dyDescent="0.45">
      <c r="B53" s="9" t="s">
        <v>60</v>
      </c>
      <c r="C53" s="10" t="s">
        <v>61</v>
      </c>
    </row>
    <row r="54" spans="2:3" ht="12" customHeight="1" x14ac:dyDescent="0.45"/>
    <row r="55" spans="2:3" ht="22.05" customHeight="1" x14ac:dyDescent="0.5">
      <c r="B55" s="7" t="s">
        <v>62</v>
      </c>
      <c r="C55" s="8"/>
    </row>
    <row r="56" spans="2:3" x14ac:dyDescent="0.45">
      <c r="B56" s="9" t="s">
        <v>63</v>
      </c>
      <c r="C56" s="10" t="s">
        <v>64</v>
      </c>
    </row>
    <row r="57" spans="2:3" x14ac:dyDescent="0.45">
      <c r="B57" s="9" t="s">
        <v>65</v>
      </c>
      <c r="C57" s="10" t="s">
        <v>66</v>
      </c>
    </row>
    <row r="58" spans="2:3" ht="26.25" x14ac:dyDescent="0.45">
      <c r="B58" s="9" t="s">
        <v>67</v>
      </c>
      <c r="C58" s="10" t="s">
        <v>68</v>
      </c>
    </row>
    <row r="59" spans="2:3" ht="12" customHeight="1" x14ac:dyDescent="0.45"/>
    <row r="60" spans="2:3" ht="22.05" customHeight="1" x14ac:dyDescent="0.5">
      <c r="B60" s="7" t="s">
        <v>69</v>
      </c>
      <c r="C60" s="8"/>
    </row>
    <row r="61" spans="2:3" x14ac:dyDescent="0.45">
      <c r="B61" s="20" t="s">
        <v>70</v>
      </c>
      <c r="C61" s="10" t="s">
        <v>71</v>
      </c>
    </row>
    <row r="62" spans="2:3" x14ac:dyDescent="0.45">
      <c r="B62" s="20" t="s">
        <v>72</v>
      </c>
      <c r="C62" s="10" t="s">
        <v>73</v>
      </c>
    </row>
    <row r="63" spans="2:3" x14ac:dyDescent="0.45">
      <c r="B63" s="20" t="s">
        <v>74</v>
      </c>
      <c r="C63" s="10" t="s">
        <v>75</v>
      </c>
    </row>
    <row r="64" spans="2:3" x14ac:dyDescent="0.45">
      <c r="B64" s="20" t="s">
        <v>76</v>
      </c>
      <c r="C64" s="10" t="s">
        <v>77</v>
      </c>
    </row>
    <row r="65" spans="2:3" x14ac:dyDescent="0.45">
      <c r="B65" s="20" t="s">
        <v>78</v>
      </c>
      <c r="C65" s="10" t="s">
        <v>79</v>
      </c>
    </row>
    <row r="66" spans="2:3" ht="26.25" x14ac:dyDescent="0.45">
      <c r="B66" s="20" t="s">
        <v>80</v>
      </c>
      <c r="C66" s="10" t="s">
        <v>81</v>
      </c>
    </row>
    <row r="67" spans="2:3" ht="12" customHeight="1" x14ac:dyDescent="0.45"/>
    <row r="68" spans="2:3" ht="22.05" customHeight="1" x14ac:dyDescent="0.5">
      <c r="B68" s="7" t="s">
        <v>82</v>
      </c>
      <c r="C68" s="8"/>
    </row>
    <row r="69" spans="2:3" x14ac:dyDescent="0.45">
      <c r="B69" s="9" t="s">
        <v>83</v>
      </c>
      <c r="C69" s="10" t="s">
        <v>84</v>
      </c>
    </row>
    <row r="70" spans="2:3" ht="16.05" customHeight="1" x14ac:dyDescent="0.45"/>
    <row r="71" spans="2:3" x14ac:dyDescent="0.45">
      <c r="B71" s="69" t="s">
        <v>85</v>
      </c>
      <c r="C71" s="70"/>
    </row>
  </sheetData>
  <mergeCells count="2">
    <mergeCell ref="B71:C71"/>
    <mergeCell ref="B16:C16"/>
  </mergeCells>
  <hyperlinks>
    <hyperlink ref="D4" location="'Inputs'!A1" display="Next:  Inputs  ▸" xr:uid="{00000000-0004-0000-0000-000000000000}"/>
    <hyperlink ref="B39" location="'Inputs'!A1" display="Inputs" xr:uid="{00000000-0004-0000-0000-000001000000}"/>
    <hyperlink ref="B40" location="'Weeks'!A1" display="Week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21"/>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86</v>
      </c>
      <c r="C3" s="1"/>
      <c r="D3" s="1"/>
      <c r="E3" s="1"/>
      <c r="F3" s="1"/>
      <c r="G3" s="1"/>
      <c r="H3" s="1"/>
      <c r="I3" s="1"/>
      <c r="J3" s="1"/>
    </row>
    <row r="4" spans="1:10" ht="20" customHeight="1" x14ac:dyDescent="0.45">
      <c r="A4" s="5"/>
      <c r="B4" s="22" t="s">
        <v>87</v>
      </c>
      <c r="C4" s="5"/>
      <c r="D4" s="5"/>
      <c r="E4" s="5"/>
      <c r="F4" s="5"/>
      <c r="G4" s="5"/>
      <c r="H4" s="5"/>
      <c r="I4" s="5"/>
      <c r="J4" s="6" t="s">
        <v>88</v>
      </c>
    </row>
    <row r="5" spans="1:10" ht="8" customHeight="1" x14ac:dyDescent="0.45"/>
    <row r="6" spans="1:10" ht="30" customHeight="1" x14ac:dyDescent="0.45">
      <c r="B6" s="72" t="s">
        <v>89</v>
      </c>
      <c r="C6" s="70"/>
      <c r="D6" s="70"/>
      <c r="E6" s="70"/>
      <c r="F6" s="70"/>
      <c r="G6" s="70"/>
      <c r="H6" s="70"/>
      <c r="I6" s="70"/>
      <c r="J6" s="70"/>
    </row>
    <row r="7" spans="1:10" ht="6" customHeight="1" x14ac:dyDescent="0.45"/>
    <row r="8" spans="1:10" ht="22.05" customHeight="1" x14ac:dyDescent="0.5">
      <c r="B8" s="7" t="s">
        <v>90</v>
      </c>
      <c r="C8" s="8"/>
      <c r="D8" s="8"/>
      <c r="E8" s="8"/>
      <c r="F8" s="8"/>
      <c r="G8" s="8"/>
      <c r="H8" s="8"/>
      <c r="I8" s="8"/>
      <c r="J8" s="8"/>
    </row>
    <row r="9" spans="1:10" ht="18" customHeight="1" x14ac:dyDescent="0.45">
      <c r="B9" s="13" t="s">
        <v>91</v>
      </c>
    </row>
    <row r="10" spans="1:10" ht="18" customHeight="1" x14ac:dyDescent="0.45">
      <c r="B10" s="23" t="s">
        <v>92</v>
      </c>
      <c r="C10" s="23" t="s">
        <v>93</v>
      </c>
      <c r="D10" s="24" t="s">
        <v>94</v>
      </c>
      <c r="E10" s="23" t="s">
        <v>95</v>
      </c>
      <c r="F10" s="5"/>
      <c r="G10" s="5"/>
      <c r="H10" s="5"/>
      <c r="I10" s="5"/>
      <c r="J10" s="23" t="s">
        <v>96</v>
      </c>
    </row>
    <row r="11" spans="1:10" x14ac:dyDescent="0.45">
      <c r="B11" s="25" t="s">
        <v>97</v>
      </c>
      <c r="C11" s="26" t="s">
        <v>98</v>
      </c>
      <c r="D11" s="27">
        <v>100</v>
      </c>
      <c r="E11" s="26" t="s">
        <v>99</v>
      </c>
      <c r="F11" s="28"/>
      <c r="G11" s="28"/>
      <c r="H11" s="28"/>
      <c r="I11" s="28"/>
      <c r="J11" s="29" t="s">
        <v>100</v>
      </c>
    </row>
    <row r="12" spans="1:10" x14ac:dyDescent="0.45">
      <c r="B12" s="25" t="s">
        <v>101</v>
      </c>
      <c r="C12" s="26" t="s">
        <v>102</v>
      </c>
      <c r="D12" s="30">
        <v>0.1</v>
      </c>
      <c r="E12" s="26" t="s">
        <v>99</v>
      </c>
      <c r="F12" s="28"/>
      <c r="G12" s="28"/>
      <c r="H12" s="28"/>
      <c r="I12" s="28"/>
      <c r="J12" s="29" t="s">
        <v>103</v>
      </c>
    </row>
    <row r="13" spans="1:10" ht="8" customHeight="1" x14ac:dyDescent="0.45"/>
    <row r="14" spans="1:10" ht="22.05" customHeight="1" x14ac:dyDescent="0.5">
      <c r="B14" s="7" t="s">
        <v>104</v>
      </c>
      <c r="C14" s="8"/>
      <c r="D14" s="8"/>
      <c r="E14" s="8"/>
      <c r="F14" s="8"/>
      <c r="G14" s="8"/>
      <c r="H14" s="8"/>
      <c r="I14" s="8"/>
      <c r="J14" s="8"/>
    </row>
    <row r="15" spans="1:10" ht="18" customHeight="1" x14ac:dyDescent="0.45">
      <c r="B15" s="13" t="s">
        <v>105</v>
      </c>
    </row>
    <row r="16" spans="1:10" ht="18" customHeight="1" x14ac:dyDescent="0.45">
      <c r="B16" s="23" t="s">
        <v>92</v>
      </c>
      <c r="C16" s="23" t="s">
        <v>93</v>
      </c>
      <c r="D16" s="24" t="s">
        <v>94</v>
      </c>
      <c r="E16" s="23" t="s">
        <v>95</v>
      </c>
      <c r="F16" s="24" t="s">
        <v>106</v>
      </c>
      <c r="G16" s="24" t="s">
        <v>107</v>
      </c>
      <c r="H16" s="24" t="s">
        <v>108</v>
      </c>
      <c r="I16" s="24" t="s">
        <v>109</v>
      </c>
      <c r="J16" s="23" t="s">
        <v>96</v>
      </c>
    </row>
    <row r="17" spans="2:10" x14ac:dyDescent="0.45">
      <c r="B17" s="25" t="s">
        <v>110</v>
      </c>
      <c r="C17" s="26" t="s">
        <v>111</v>
      </c>
      <c r="D17" s="30">
        <v>0.7</v>
      </c>
      <c r="E17" s="26" t="s">
        <v>99</v>
      </c>
      <c r="F17" s="28"/>
      <c r="G17" s="28"/>
      <c r="H17" s="28"/>
      <c r="I17" s="28"/>
      <c r="J17" s="29"/>
    </row>
    <row r="18" spans="2:10" x14ac:dyDescent="0.45">
      <c r="B18" s="25" t="s">
        <v>112</v>
      </c>
      <c r="C18" s="26" t="s">
        <v>113</v>
      </c>
      <c r="D18" s="31">
        <v>23</v>
      </c>
      <c r="E18" s="26" t="s">
        <v>99</v>
      </c>
      <c r="F18" s="28"/>
      <c r="G18" s="28"/>
      <c r="H18" s="28"/>
      <c r="I18" s="28"/>
      <c r="J18" s="29"/>
    </row>
    <row r="19" spans="2:10" x14ac:dyDescent="0.45">
      <c r="B19" s="25" t="s">
        <v>114</v>
      </c>
      <c r="C19" s="26" t="s">
        <v>113</v>
      </c>
      <c r="D19" s="31">
        <v>26</v>
      </c>
      <c r="E19" s="26" t="s">
        <v>99</v>
      </c>
      <c r="F19" s="28"/>
      <c r="G19" s="28"/>
      <c r="H19" s="28"/>
      <c r="I19" s="28"/>
      <c r="J19" s="29"/>
    </row>
    <row r="20" spans="2:10" x14ac:dyDescent="0.45">
      <c r="B20" s="25" t="s">
        <v>115</v>
      </c>
      <c r="C20" s="26" t="s">
        <v>116</v>
      </c>
      <c r="D20" s="32" cm="1">
        <f t="array" aca="1" ref="D20" ca="1">_xll.VoseInput("Law effect","change")+_xll.VosePERT(F20,G20,H20)</f>
        <v>-6.9588546200633788E-2</v>
      </c>
      <c r="E20" s="26" t="s">
        <v>117</v>
      </c>
      <c r="F20" s="33">
        <v>-0.15</v>
      </c>
      <c r="G20" s="33">
        <v>-0.1</v>
      </c>
      <c r="H20" s="33">
        <v>-0.05</v>
      </c>
      <c r="I20" s="34" cm="1">
        <f t="array" ref="I20">IF(AND(F20&lt;=G20,G20&lt;=H20,F20&lt;H20),_xll.VoseMean(_xll.VosePERTObject(F20,G20,H20)),"✗ range")</f>
        <v>-0.10000000000000002</v>
      </c>
      <c r="J20" s="29" t="s">
        <v>118</v>
      </c>
    </row>
    <row r="21" spans="2:10" ht="8" customHeight="1" x14ac:dyDescent="0.45"/>
  </sheetData>
  <mergeCells count="1">
    <mergeCell ref="B6:J6"/>
  </mergeCells>
  <conditionalFormatting sqref="I20">
    <cfRule type="expression" dxfId="6" priority="1">
      <formula>LEFT($I20,1)="✗"</formula>
    </cfRule>
  </conditionalFormatting>
  <dataValidations count="4">
    <dataValidation type="decimal" operator="greaterThan" showErrorMessage="1" errorTitle="Positive value" error="Enter a value greater than zero." sqref="D11" xr:uid="{00000000-0002-0000-0100-000000000000}">
      <formula1>0</formula1>
    </dataValidation>
    <dataValidation type="decimal" showErrorMessage="1" errorTitle="Probability" error="Enter a value between 0% and 100%." sqref="D17" xr:uid="{00000000-0002-0000-0100-000001000000}">
      <formula1>0</formula1>
      <formula2>1</formula2>
    </dataValidation>
    <dataValidation type="whole" showErrorMessage="1" errorTitle="Whole number" error="Enter a whole number." sqref="D18:D19" xr:uid="{00000000-0002-0000-0100-000002000000}">
      <formula1>0</formula1>
      <formula2>1000000</formula2>
    </dataValidation>
    <dataValidation type="custom" showErrorMessage="1" errorTitle="PERT range" error="Low must be below High, with Most likely between them." sqref="F20:H20" xr:uid="{00000000-0002-0000-0100-000004000000}">
      <formula1>AND($F20&lt;=$G20,$G20&lt;=$H20,$F20&lt;$H20)</formula1>
    </dataValidation>
  </dataValidations>
  <hyperlinks>
    <hyperlink ref="B4" location="'About'!A1" display="◂  About" xr:uid="{00000000-0004-0000-0100-000000000000}"/>
    <hyperlink ref="J4" location="'Weeks'!A1" display="Next:  Week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K82"/>
  <sheetViews>
    <sheetView showGridLines="0" workbookViewId="0">
      <pane xSplit="2" ySplit="5" topLeftCell="C6" activePane="bottomRight" state="frozen"/>
      <selection pane="topRight"/>
      <selection pane="bottomLeft"/>
      <selection pane="bottomRight"/>
    </sheetView>
  </sheetViews>
  <sheetFormatPr defaultRowHeight="14.25" x14ac:dyDescent="0.45"/>
  <cols>
    <col min="1" max="1" width="2" customWidth="1"/>
    <col min="2" max="2" width="9" customWidth="1"/>
    <col min="3" max="9" width="12" customWidth="1"/>
    <col min="10" max="10" width="2" customWidth="1"/>
    <col min="11" max="11" width="64" customWidth="1"/>
  </cols>
  <sheetData>
    <row r="1" spans="1:11" ht="6" customHeight="1" x14ac:dyDescent="0.45"/>
    <row r="2" spans="1:11" ht="30" customHeight="1" x14ac:dyDescent="0.45">
      <c r="A2" s="1"/>
      <c r="B2" s="21" t="s">
        <v>0</v>
      </c>
      <c r="C2" s="1"/>
      <c r="D2" s="1"/>
      <c r="E2" s="1"/>
      <c r="F2" s="1"/>
      <c r="G2" s="1"/>
      <c r="H2" s="1"/>
      <c r="I2" s="1"/>
      <c r="J2" s="1"/>
      <c r="K2" s="3" t="s">
        <v>1</v>
      </c>
    </row>
    <row r="3" spans="1:11" ht="20" customHeight="1" x14ac:dyDescent="0.45">
      <c r="A3" s="1"/>
      <c r="B3" s="4" t="s">
        <v>119</v>
      </c>
      <c r="C3" s="1"/>
      <c r="D3" s="1"/>
      <c r="E3" s="1"/>
      <c r="F3" s="1"/>
      <c r="G3" s="1"/>
      <c r="H3" s="1"/>
      <c r="I3" s="1"/>
      <c r="J3" s="1"/>
      <c r="K3" s="1"/>
    </row>
    <row r="4" spans="1:11" ht="20" customHeight="1" x14ac:dyDescent="0.45">
      <c r="A4" s="5"/>
      <c r="B4" s="22" t="s">
        <v>120</v>
      </c>
      <c r="C4" s="5"/>
      <c r="D4" s="5"/>
      <c r="E4" s="5"/>
      <c r="F4" s="5"/>
      <c r="G4" s="5"/>
      <c r="H4" s="5"/>
      <c r="I4" s="5"/>
      <c r="J4" s="5"/>
      <c r="K4" s="6" t="s">
        <v>121</v>
      </c>
    </row>
    <row r="5" spans="1:11" ht="8" customHeight="1" x14ac:dyDescent="0.45"/>
    <row r="6" spans="1:11" ht="22.05" customHeight="1" x14ac:dyDescent="0.5">
      <c r="B6" s="7" t="s">
        <v>122</v>
      </c>
      <c r="C6" s="8"/>
      <c r="D6" s="8"/>
      <c r="E6" s="8"/>
      <c r="F6" s="8"/>
      <c r="G6" s="8"/>
      <c r="H6" s="8"/>
      <c r="I6" s="8"/>
      <c r="J6" s="8"/>
      <c r="K6" s="8"/>
    </row>
    <row r="7" spans="1:11" ht="18" customHeight="1" x14ac:dyDescent="0.45">
      <c r="B7" s="13" t="s">
        <v>123</v>
      </c>
    </row>
    <row r="8" spans="1:11" x14ac:dyDescent="0.45">
      <c r="B8" s="25" t="s">
        <v>124</v>
      </c>
      <c r="C8" s="28"/>
      <c r="D8" s="28"/>
      <c r="E8" s="28"/>
      <c r="F8" s="26" t="s">
        <v>125</v>
      </c>
      <c r="G8" s="35" cm="1">
        <f t="array" aca="1" ref="G8" ca="1">_xll.VoseBernoulli(PLaw)</f>
        <v>1</v>
      </c>
      <c r="H8" s="28"/>
      <c r="I8" s="28"/>
      <c r="J8" s="28"/>
      <c r="K8" s="26" t="s">
        <v>126</v>
      </c>
    </row>
    <row r="9" spans="1:11" x14ac:dyDescent="0.45">
      <c r="B9" s="25" t="s">
        <v>127</v>
      </c>
      <c r="C9" s="28"/>
      <c r="D9" s="28"/>
      <c r="E9" s="28"/>
      <c r="F9" s="26" t="s">
        <v>113</v>
      </c>
      <c r="G9" s="35" cm="1">
        <f t="array" aca="1" ref="G9" ca="1">_xll.VoseStepUniform(FirstWeek,LastWeek)</f>
        <v>24</v>
      </c>
      <c r="H9" s="28"/>
      <c r="I9" s="28"/>
      <c r="J9" s="28"/>
      <c r="K9" s="26" t="s">
        <v>128</v>
      </c>
    </row>
    <row r="10" spans="1:11" x14ac:dyDescent="0.45">
      <c r="B10" s="25" t="s">
        <v>115</v>
      </c>
      <c r="C10" s="28"/>
      <c r="D10" s="28"/>
      <c r="E10" s="28"/>
      <c r="F10" s="26" t="s">
        <v>116</v>
      </c>
      <c r="G10" s="34">
        <f ca="1">LawEffect</f>
        <v>-6.9588546200633788E-2</v>
      </c>
      <c r="H10" s="28"/>
      <c r="I10" s="28"/>
      <c r="J10" s="28"/>
      <c r="K10" s="26" t="s">
        <v>129</v>
      </c>
    </row>
    <row r="11" spans="1:11" x14ac:dyDescent="0.45">
      <c r="B11" s="25" t="s">
        <v>130</v>
      </c>
      <c r="C11" s="28"/>
      <c r="D11" s="28"/>
      <c r="E11" s="28"/>
      <c r="F11" s="26" t="s">
        <v>131</v>
      </c>
      <c r="G11" s="36">
        <f>(1+Growth)^(1/52)-1</f>
        <v>1.8345688392329418E-3</v>
      </c>
      <c r="H11" s="28"/>
      <c r="I11" s="28"/>
      <c r="J11" s="28"/>
      <c r="K11" s="26" t="s">
        <v>132</v>
      </c>
    </row>
    <row r="12" spans="1:11" ht="8" customHeight="1" x14ac:dyDescent="0.45"/>
    <row r="13" spans="1:11" ht="22.05" customHeight="1" x14ac:dyDescent="0.5">
      <c r="B13" s="7" t="s">
        <v>133</v>
      </c>
      <c r="C13" s="8"/>
      <c r="D13" s="8"/>
      <c r="E13" s="8"/>
      <c r="F13" s="8"/>
      <c r="G13" s="8"/>
      <c r="H13" s="8"/>
      <c r="I13" s="8"/>
      <c r="J13" s="8"/>
      <c r="K13" s="8"/>
    </row>
    <row r="14" spans="1:11" ht="18" customHeight="1" x14ac:dyDescent="0.45">
      <c r="B14" s="13" t="s">
        <v>134</v>
      </c>
    </row>
    <row r="15" spans="1:11" ht="32" customHeight="1" x14ac:dyDescent="0.45">
      <c r="B15" s="37" t="s">
        <v>135</v>
      </c>
      <c r="C15" s="38" t="s">
        <v>58</v>
      </c>
      <c r="D15" s="38" t="s">
        <v>60</v>
      </c>
      <c r="E15" s="38" t="s">
        <v>136</v>
      </c>
      <c r="F15" s="38" t="s">
        <v>137</v>
      </c>
      <c r="G15" s="38" t="s">
        <v>138</v>
      </c>
      <c r="H15" s="38" t="s">
        <v>139</v>
      </c>
      <c r="I15" s="38" t="s">
        <v>140</v>
      </c>
      <c r="J15" s="39"/>
      <c r="K15" s="37" t="s">
        <v>141</v>
      </c>
    </row>
    <row r="16" spans="1:11" x14ac:dyDescent="0.45">
      <c r="B16" s="40"/>
      <c r="C16" s="40" t="s">
        <v>142</v>
      </c>
      <c r="D16" s="40" t="s">
        <v>98</v>
      </c>
      <c r="E16" s="40" t="s">
        <v>143</v>
      </c>
      <c r="F16" s="40" t="s">
        <v>98</v>
      </c>
      <c r="G16" s="40" t="s">
        <v>144</v>
      </c>
      <c r="H16" s="40" t="s">
        <v>98</v>
      </c>
      <c r="I16" s="40" t="s">
        <v>98</v>
      </c>
      <c r="J16" s="40"/>
      <c r="K16" s="40"/>
    </row>
    <row r="17" spans="2:11" x14ac:dyDescent="0.45">
      <c r="B17" s="41">
        <v>1</v>
      </c>
      <c r="C17" s="42">
        <v>1.4972000000000001</v>
      </c>
      <c r="D17" s="43">
        <f t="shared" ref="D17:D48" si="0">Start*(1+WeeklyGrowth)^(B17-1)</f>
        <v>100</v>
      </c>
      <c r="E17" s="44">
        <f t="shared" ref="E17:E48" ca="1" si="1">IF(AND(Passes=1,B17&gt;=LawWeek),1+Effect,1)</f>
        <v>1</v>
      </c>
      <c r="F17" s="43">
        <f t="shared" ref="F17:F48" ca="1" si="2">D17*C17*E17</f>
        <v>149.72</v>
      </c>
      <c r="G17" s="45" cm="1">
        <f t="array" aca="1" ref="G17" ca="1">_xll.VoseOutput("Week 1","crashes","Crashes by week",1)+_xll.VosePoisson(F17)</f>
        <v>142</v>
      </c>
      <c r="H17" s="43">
        <f t="shared" ref="H17:H48" si="3">D17*C17</f>
        <v>149.72</v>
      </c>
      <c r="I17" s="43">
        <f t="shared" ref="I17:I48" ca="1" si="4">H17-F17</f>
        <v>0</v>
      </c>
      <c r="J17" s="28"/>
      <c r="K17" s="26" t="s">
        <v>145</v>
      </c>
    </row>
    <row r="18" spans="2:11" x14ac:dyDescent="0.45">
      <c r="B18" s="41">
        <v>2</v>
      </c>
      <c r="C18" s="42">
        <v>1.6198999999999999</v>
      </c>
      <c r="D18" s="43">
        <f t="shared" si="0"/>
        <v>100.1834568839233</v>
      </c>
      <c r="E18" s="44">
        <f t="shared" ca="1" si="1"/>
        <v>1</v>
      </c>
      <c r="F18" s="43">
        <f t="shared" ca="1" si="2"/>
        <v>162.28718180626734</v>
      </c>
      <c r="G18" s="45" cm="1">
        <f t="array" aca="1" ref="G18" ca="1">_xll.VoseOutput("Week 2","crashes","Crashes by week",2)+_xll.VosePoisson(F18)</f>
        <v>149</v>
      </c>
      <c r="H18" s="43">
        <f t="shared" si="3"/>
        <v>162.28718180626734</v>
      </c>
      <c r="I18" s="43">
        <f t="shared" ca="1" si="4"/>
        <v>0</v>
      </c>
      <c r="J18" s="28"/>
      <c r="K18" s="26" t="s">
        <v>146</v>
      </c>
    </row>
    <row r="19" spans="2:11" x14ac:dyDescent="0.45">
      <c r="B19" s="41">
        <v>3</v>
      </c>
      <c r="C19" s="42">
        <v>1.6660999999999999</v>
      </c>
      <c r="D19" s="43">
        <f t="shared" si="0"/>
        <v>100.36725033212919</v>
      </c>
      <c r="E19" s="44">
        <f t="shared" ca="1" si="1"/>
        <v>1</v>
      </c>
      <c r="F19" s="43">
        <f t="shared" ca="1" si="2"/>
        <v>167.22187577836044</v>
      </c>
      <c r="G19" s="45" cm="1">
        <f t="array" aca="1" ref="G19" ca="1">_xll.VoseOutput("Week 3","crashes","Crashes by week",3)+_xll.VosePoisson(F19)</f>
        <v>149</v>
      </c>
      <c r="H19" s="43">
        <f t="shared" si="3"/>
        <v>167.22187577836044</v>
      </c>
      <c r="I19" s="43">
        <f t="shared" ca="1" si="4"/>
        <v>0</v>
      </c>
      <c r="J19" s="28"/>
      <c r="K19" s="26" t="s">
        <v>147</v>
      </c>
    </row>
    <row r="20" spans="2:11" x14ac:dyDescent="0.45">
      <c r="B20" s="41">
        <v>4</v>
      </c>
      <c r="C20" s="42">
        <v>1.6467000000000001</v>
      </c>
      <c r="D20" s="43">
        <f t="shared" si="0"/>
        <v>100.551380962068</v>
      </c>
      <c r="E20" s="44">
        <f t="shared" ca="1" si="1"/>
        <v>1</v>
      </c>
      <c r="F20" s="43">
        <f t="shared" ca="1" si="2"/>
        <v>165.57795903023737</v>
      </c>
      <c r="G20" s="45" cm="1">
        <f t="array" aca="1" ref="G20" ca="1">_xll.VoseOutput("Week 4","crashes","Crashes by week",4)+_xll.VosePoisson(F20)</f>
        <v>181</v>
      </c>
      <c r="H20" s="43">
        <f t="shared" si="3"/>
        <v>165.57795903023737</v>
      </c>
      <c r="I20" s="43">
        <f t="shared" ca="1" si="4"/>
        <v>0</v>
      </c>
      <c r="J20" s="28"/>
      <c r="K20" s="26" t="s">
        <v>148</v>
      </c>
    </row>
    <row r="21" spans="2:11" x14ac:dyDescent="0.45">
      <c r="B21" s="41">
        <v>5</v>
      </c>
      <c r="C21" s="42">
        <v>1.5451999999999999</v>
      </c>
      <c r="D21" s="43">
        <f t="shared" si="0"/>
        <v>100.73584939232288</v>
      </c>
      <c r="E21" s="44">
        <f t="shared" ca="1" si="1"/>
        <v>1</v>
      </c>
      <c r="F21" s="43">
        <f t="shared" ca="1" si="2"/>
        <v>155.65703448101729</v>
      </c>
      <c r="G21" s="45" cm="1">
        <f t="array" aca="1" ref="G21" ca="1">_xll.VoseOutput("Week 5","crashes","Crashes by week",5)+_xll.VosePoisson(F21)</f>
        <v>142</v>
      </c>
      <c r="H21" s="43">
        <f t="shared" si="3"/>
        <v>155.65703448101729</v>
      </c>
      <c r="I21" s="43">
        <f t="shared" ca="1" si="4"/>
        <v>0</v>
      </c>
      <c r="J21" s="28"/>
      <c r="K21" s="26" t="s">
        <v>149</v>
      </c>
    </row>
    <row r="22" spans="2:11" x14ac:dyDescent="0.45">
      <c r="B22" s="41">
        <v>6</v>
      </c>
      <c r="C22" s="42">
        <v>1.4440999999999999</v>
      </c>
      <c r="D22" s="43">
        <f t="shared" si="0"/>
        <v>100.92065624261168</v>
      </c>
      <c r="E22" s="44">
        <f t="shared" ca="1" si="1"/>
        <v>1</v>
      </c>
      <c r="F22" s="43">
        <f t="shared" ca="1" si="2"/>
        <v>145.73951967995552</v>
      </c>
      <c r="G22" s="45" cm="1">
        <f t="array" aca="1" ref="G22" ca="1">_xll.VoseOutput("Week 6","crashes","Crashes by week",6)+_xll.VosePoisson(F22)</f>
        <v>146</v>
      </c>
      <c r="H22" s="43">
        <f t="shared" si="3"/>
        <v>145.73951967995552</v>
      </c>
      <c r="I22" s="43">
        <f t="shared" ca="1" si="4"/>
        <v>0</v>
      </c>
      <c r="J22" s="28"/>
      <c r="K22" s="28"/>
    </row>
    <row r="23" spans="2:11" x14ac:dyDescent="0.45">
      <c r="B23" s="41">
        <v>7</v>
      </c>
      <c r="C23" s="42">
        <v>1.3216000000000001</v>
      </c>
      <c r="D23" s="43">
        <f t="shared" si="0"/>
        <v>101.10580213378935</v>
      </c>
      <c r="E23" s="44">
        <f t="shared" ca="1" si="1"/>
        <v>1</v>
      </c>
      <c r="F23" s="43">
        <f t="shared" ca="1" si="2"/>
        <v>133.62142810001603</v>
      </c>
      <c r="G23" s="45" cm="1">
        <f t="array" aca="1" ref="G23" ca="1">_xll.VoseOutput("Week 7","crashes","Crashes by week",7)+_xll.VosePoisson(F23)</f>
        <v>134</v>
      </c>
      <c r="H23" s="43">
        <f t="shared" si="3"/>
        <v>133.62142810001603</v>
      </c>
      <c r="I23" s="43">
        <f t="shared" ca="1" si="4"/>
        <v>0</v>
      </c>
      <c r="J23" s="28"/>
      <c r="K23" s="28"/>
    </row>
    <row r="24" spans="2:11" x14ac:dyDescent="0.45">
      <c r="B24" s="41">
        <v>8</v>
      </c>
      <c r="C24" s="42">
        <v>1.2307999999999999</v>
      </c>
      <c r="D24" s="43">
        <f t="shared" si="0"/>
        <v>101.29128768784963</v>
      </c>
      <c r="E24" s="44">
        <f t="shared" ca="1" si="1"/>
        <v>1</v>
      </c>
      <c r="F24" s="43">
        <f t="shared" ca="1" si="2"/>
        <v>124.66931688620532</v>
      </c>
      <c r="G24" s="45" cm="1">
        <f t="array" aca="1" ref="G24" ca="1">_xll.VoseOutput("Week 8","crashes","Crashes by week",8)+_xll.VosePoisson(F24)</f>
        <v>125</v>
      </c>
      <c r="H24" s="43">
        <f t="shared" si="3"/>
        <v>124.66931688620532</v>
      </c>
      <c r="I24" s="43">
        <f t="shared" ca="1" si="4"/>
        <v>0</v>
      </c>
      <c r="J24" s="28"/>
      <c r="K24" s="28"/>
    </row>
    <row r="25" spans="2:11" x14ac:dyDescent="0.45">
      <c r="B25" s="41">
        <v>9</v>
      </c>
      <c r="C25" s="42">
        <v>1.1662999999999999</v>
      </c>
      <c r="D25" s="43">
        <f t="shared" si="0"/>
        <v>101.47711352792757</v>
      </c>
      <c r="E25" s="44">
        <f t="shared" ca="1" si="1"/>
        <v>1</v>
      </c>
      <c r="F25" s="43">
        <f t="shared" ca="1" si="2"/>
        <v>118.35275750762192</v>
      </c>
      <c r="G25" s="45" cm="1">
        <f t="array" aca="1" ref="G25" ca="1">_xll.VoseOutput("Week 9","crashes","Crashes by week",9)+_xll.VosePoisson(F25)</f>
        <v>135</v>
      </c>
      <c r="H25" s="43">
        <f t="shared" si="3"/>
        <v>118.35275750762192</v>
      </c>
      <c r="I25" s="43">
        <f t="shared" ca="1" si="4"/>
        <v>0</v>
      </c>
      <c r="J25" s="28"/>
      <c r="K25" s="28"/>
    </row>
    <row r="26" spans="2:11" x14ac:dyDescent="0.45">
      <c r="B26" s="41">
        <v>10</v>
      </c>
      <c r="C26" s="42">
        <v>1.0749</v>
      </c>
      <c r="D26" s="43">
        <f t="shared" si="0"/>
        <v>101.6632802783012</v>
      </c>
      <c r="E26" s="44">
        <f t="shared" ca="1" si="1"/>
        <v>1</v>
      </c>
      <c r="F26" s="43">
        <f t="shared" ca="1" si="2"/>
        <v>109.27785997114596</v>
      </c>
      <c r="G26" s="45" cm="1">
        <f t="array" aca="1" ref="G26" ca="1">_xll.VoseOutput("Week 10","crashes","Crashes by week",10)+_xll.VosePoisson(F26)</f>
        <v>111</v>
      </c>
      <c r="H26" s="43">
        <f t="shared" si="3"/>
        <v>109.27785997114596</v>
      </c>
      <c r="I26" s="43">
        <f t="shared" ca="1" si="4"/>
        <v>0</v>
      </c>
      <c r="J26" s="28"/>
      <c r="K26" s="28"/>
    </row>
    <row r="27" spans="2:11" x14ac:dyDescent="0.45">
      <c r="B27" s="41">
        <v>11</v>
      </c>
      <c r="C27" s="42">
        <v>1.0212000000000001</v>
      </c>
      <c r="D27" s="43">
        <f t="shared" si="0"/>
        <v>101.84978856439399</v>
      </c>
      <c r="E27" s="44">
        <f t="shared" ca="1" si="1"/>
        <v>1</v>
      </c>
      <c r="F27" s="43">
        <f t="shared" ca="1" si="2"/>
        <v>104.00900408195915</v>
      </c>
      <c r="G27" s="45" cm="1">
        <f t="array" aca="1" ref="G27" ca="1">_xll.VoseOutput("Week 11","crashes","Crashes by week",11)+_xll.VosePoisson(F27)</f>
        <v>116</v>
      </c>
      <c r="H27" s="43">
        <f t="shared" si="3"/>
        <v>104.00900408195915</v>
      </c>
      <c r="I27" s="43">
        <f t="shared" ca="1" si="4"/>
        <v>0</v>
      </c>
      <c r="J27" s="28"/>
      <c r="K27" s="28"/>
    </row>
    <row r="28" spans="2:11" x14ac:dyDescent="0.45">
      <c r="B28" s="41">
        <v>12</v>
      </c>
      <c r="C28" s="42">
        <v>0.95940000000000003</v>
      </c>
      <c r="D28" s="43">
        <f t="shared" si="0"/>
        <v>102.03663901277669</v>
      </c>
      <c r="E28" s="44">
        <f t="shared" ca="1" si="1"/>
        <v>1</v>
      </c>
      <c r="F28" s="43">
        <f t="shared" ca="1" si="2"/>
        <v>97.893951468857964</v>
      </c>
      <c r="G28" s="45" cm="1">
        <f t="array" aca="1" ref="G28" ca="1">_xll.VoseOutput("Week 12","crashes","Crashes by week",12)+_xll.VosePoisson(F28)</f>
        <v>114</v>
      </c>
      <c r="H28" s="43">
        <f t="shared" si="3"/>
        <v>97.893951468857964</v>
      </c>
      <c r="I28" s="43">
        <f t="shared" ca="1" si="4"/>
        <v>0</v>
      </c>
      <c r="J28" s="28"/>
      <c r="K28" s="28"/>
    </row>
    <row r="29" spans="2:11" x14ac:dyDescent="0.45">
      <c r="B29" s="41">
        <v>13</v>
      </c>
      <c r="C29" s="42">
        <v>0.91639999999999999</v>
      </c>
      <c r="D29" s="43">
        <f t="shared" si="0"/>
        <v>102.22383225116963</v>
      </c>
      <c r="E29" s="44">
        <f t="shared" ca="1" si="1"/>
        <v>1</v>
      </c>
      <c r="F29" s="43">
        <f t="shared" ca="1" si="2"/>
        <v>93.677919874971849</v>
      </c>
      <c r="G29" s="45" cm="1">
        <f t="array" aca="1" ref="G29" ca="1">_xll.VoseOutput("Week 13","crashes","Crashes by week",13)+_xll.VosePoisson(F29)</f>
        <v>102</v>
      </c>
      <c r="H29" s="43">
        <f t="shared" si="3"/>
        <v>93.677919874971849</v>
      </c>
      <c r="I29" s="43">
        <f t="shared" ca="1" si="4"/>
        <v>0</v>
      </c>
      <c r="J29" s="28"/>
      <c r="K29" s="28"/>
    </row>
    <row r="30" spans="2:11" x14ac:dyDescent="0.45">
      <c r="B30" s="41">
        <v>14</v>
      </c>
      <c r="C30" s="42">
        <v>0.85240000000000005</v>
      </c>
      <c r="D30" s="43">
        <f t="shared" si="0"/>
        <v>102.41136890844457</v>
      </c>
      <c r="E30" s="44">
        <f t="shared" ca="1" si="1"/>
        <v>1</v>
      </c>
      <c r="F30" s="43">
        <f t="shared" ca="1" si="2"/>
        <v>87.295450857558151</v>
      </c>
      <c r="G30" s="45" cm="1">
        <f t="array" aca="1" ref="G30" ca="1">_xll.VoseOutput("Week 14","crashes","Crashes by week",14)+_xll.VosePoisson(F30)</f>
        <v>93</v>
      </c>
      <c r="H30" s="43">
        <f t="shared" si="3"/>
        <v>87.295450857558151</v>
      </c>
      <c r="I30" s="43">
        <f t="shared" ca="1" si="4"/>
        <v>0</v>
      </c>
      <c r="J30" s="28"/>
      <c r="K30" s="28"/>
    </row>
    <row r="31" spans="2:11" x14ac:dyDescent="0.45">
      <c r="B31" s="41">
        <v>15</v>
      </c>
      <c r="C31" s="42">
        <v>0.80620000000000003</v>
      </c>
      <c r="D31" s="43">
        <f t="shared" si="0"/>
        <v>102.59924961462723</v>
      </c>
      <c r="E31" s="44">
        <f t="shared" ca="1" si="1"/>
        <v>1</v>
      </c>
      <c r="F31" s="43">
        <f t="shared" ca="1" si="2"/>
        <v>82.715515039312479</v>
      </c>
      <c r="G31" s="45" cm="1">
        <f t="array" aca="1" ref="G31" ca="1">_xll.VoseOutput("Week 15","crashes","Crashes by week",15)+_xll.VosePoisson(F31)</f>
        <v>93</v>
      </c>
      <c r="H31" s="43">
        <f t="shared" si="3"/>
        <v>82.715515039312479</v>
      </c>
      <c r="I31" s="43">
        <f t="shared" ca="1" si="4"/>
        <v>0</v>
      </c>
      <c r="J31" s="28"/>
      <c r="K31" s="28"/>
    </row>
    <row r="32" spans="2:11" x14ac:dyDescent="0.45">
      <c r="B32" s="41">
        <v>16</v>
      </c>
      <c r="C32" s="42">
        <v>0.77929999999999999</v>
      </c>
      <c r="D32" s="43">
        <f t="shared" si="0"/>
        <v>102.78747500089889</v>
      </c>
      <c r="E32" s="44">
        <f t="shared" ca="1" si="1"/>
        <v>1</v>
      </c>
      <c r="F32" s="43">
        <f t="shared" ca="1" si="2"/>
        <v>80.102279268200505</v>
      </c>
      <c r="G32" s="45" cm="1">
        <f t="array" aca="1" ref="G32" ca="1">_xll.VoseOutput("Week 16","crashes","Crashes by week",16)+_xll.VosePoisson(F32)</f>
        <v>82</v>
      </c>
      <c r="H32" s="43">
        <f t="shared" si="3"/>
        <v>80.102279268200505</v>
      </c>
      <c r="I32" s="43">
        <f t="shared" ca="1" si="4"/>
        <v>0</v>
      </c>
      <c r="J32" s="28"/>
      <c r="K32" s="28"/>
    </row>
    <row r="33" spans="2:11" x14ac:dyDescent="0.45">
      <c r="B33" s="41">
        <v>17</v>
      </c>
      <c r="C33" s="42">
        <v>0.75670000000000004</v>
      </c>
      <c r="D33" s="43">
        <f t="shared" si="0"/>
        <v>102.976045699599</v>
      </c>
      <c r="E33" s="44">
        <f t="shared" ca="1" si="1"/>
        <v>1</v>
      </c>
      <c r="F33" s="43">
        <f t="shared" ca="1" si="2"/>
        <v>77.92197378088656</v>
      </c>
      <c r="G33" s="45" cm="1">
        <f t="array" aca="1" ref="G33" ca="1">_xll.VoseOutput("Week 17","crashes","Crashes by week",17)+_xll.VosePoisson(F33)</f>
        <v>65</v>
      </c>
      <c r="H33" s="43">
        <f t="shared" si="3"/>
        <v>77.92197378088656</v>
      </c>
      <c r="I33" s="43">
        <f t="shared" ca="1" si="4"/>
        <v>0</v>
      </c>
      <c r="J33" s="28"/>
      <c r="K33" s="28"/>
    </row>
    <row r="34" spans="2:11" x14ac:dyDescent="0.45">
      <c r="B34" s="41">
        <v>18</v>
      </c>
      <c r="C34" s="42">
        <v>0.74060000000000004</v>
      </c>
      <c r="D34" s="43">
        <f t="shared" si="0"/>
        <v>103.16496234422689</v>
      </c>
      <c r="E34" s="44">
        <f t="shared" ca="1" si="1"/>
        <v>1</v>
      </c>
      <c r="F34" s="43">
        <f t="shared" ca="1" si="2"/>
        <v>76.403971112134442</v>
      </c>
      <c r="G34" s="45" cm="1">
        <f t="array" aca="1" ref="G34" ca="1">_xll.VoseOutput("Week 18","crashes","Crashes by week",18)+_xll.VosePoisson(F34)</f>
        <v>75</v>
      </c>
      <c r="H34" s="43">
        <f t="shared" si="3"/>
        <v>76.403971112134442</v>
      </c>
      <c r="I34" s="43">
        <f t="shared" ca="1" si="4"/>
        <v>0</v>
      </c>
      <c r="J34" s="28"/>
      <c r="K34" s="28"/>
    </row>
    <row r="35" spans="2:11" x14ac:dyDescent="0.45">
      <c r="B35" s="41">
        <v>19</v>
      </c>
      <c r="C35" s="42">
        <v>0.72989999999999999</v>
      </c>
      <c r="D35" s="43">
        <f t="shared" si="0"/>
        <v>103.35422556944427</v>
      </c>
      <c r="E35" s="44">
        <f t="shared" ca="1" si="1"/>
        <v>1</v>
      </c>
      <c r="F35" s="43">
        <f t="shared" ca="1" si="2"/>
        <v>75.438249243137363</v>
      </c>
      <c r="G35" s="45" cm="1">
        <f t="array" aca="1" ref="G35" ca="1">_xll.VoseOutput("Week 19","crashes","Crashes by week",19)+_xll.VosePoisson(F35)</f>
        <v>83</v>
      </c>
      <c r="H35" s="43">
        <f t="shared" si="3"/>
        <v>75.438249243137363</v>
      </c>
      <c r="I35" s="43">
        <f t="shared" ca="1" si="4"/>
        <v>0</v>
      </c>
      <c r="J35" s="28"/>
      <c r="K35" s="28"/>
    </row>
    <row r="36" spans="2:11" x14ac:dyDescent="0.45">
      <c r="B36" s="41">
        <v>20</v>
      </c>
      <c r="C36" s="42">
        <v>0.72989999999999999</v>
      </c>
      <c r="D36" s="43">
        <f t="shared" si="0"/>
        <v>103.54383601107702</v>
      </c>
      <c r="E36" s="44">
        <f t="shared" ca="1" si="1"/>
        <v>1</v>
      </c>
      <c r="F36" s="43">
        <f t="shared" ca="1" si="2"/>
        <v>75.576645904485119</v>
      </c>
      <c r="G36" s="45" cm="1">
        <f t="array" aca="1" ref="G36" ca="1">_xll.VoseOutput("Week 20","crashes","Crashes by week",20)+_xll.VosePoisson(F36)</f>
        <v>68</v>
      </c>
      <c r="H36" s="43">
        <f t="shared" si="3"/>
        <v>75.576645904485119</v>
      </c>
      <c r="I36" s="43">
        <f t="shared" ca="1" si="4"/>
        <v>0</v>
      </c>
      <c r="J36" s="28"/>
      <c r="K36" s="28"/>
    </row>
    <row r="37" spans="2:11" x14ac:dyDescent="0.45">
      <c r="B37" s="41">
        <v>21</v>
      </c>
      <c r="C37" s="42">
        <v>0.73519999999999996</v>
      </c>
      <c r="D37" s="43">
        <f t="shared" si="0"/>
        <v>103.73379430611762</v>
      </c>
      <c r="E37" s="44">
        <f t="shared" ca="1" si="1"/>
        <v>1</v>
      </c>
      <c r="F37" s="43">
        <f t="shared" ca="1" si="2"/>
        <v>76.265085573857661</v>
      </c>
      <c r="G37" s="45" cm="1">
        <f t="array" aca="1" ref="G37" ca="1">_xll.VoseOutput("Week 21","crashes","Crashes by week",21)+_xll.VosePoisson(F37)</f>
        <v>76</v>
      </c>
      <c r="H37" s="43">
        <f t="shared" si="3"/>
        <v>76.265085573857661</v>
      </c>
      <c r="I37" s="43">
        <f t="shared" ca="1" si="4"/>
        <v>0</v>
      </c>
      <c r="J37" s="28"/>
      <c r="K37" s="28"/>
    </row>
    <row r="38" spans="2:11" x14ac:dyDescent="0.45">
      <c r="B38" s="41">
        <v>22</v>
      </c>
      <c r="C38" s="42">
        <v>0.74060000000000004</v>
      </c>
      <c r="D38" s="43">
        <f t="shared" si="0"/>
        <v>103.924101092727</v>
      </c>
      <c r="E38" s="44">
        <f t="shared" ca="1" si="1"/>
        <v>1</v>
      </c>
      <c r="F38" s="43">
        <f t="shared" ca="1" si="2"/>
        <v>76.966189269273613</v>
      </c>
      <c r="G38" s="45" cm="1">
        <f t="array" aca="1" ref="G38" ca="1">_xll.VoseOutput("Week 22","crashes","Crashes by week",22)+_xll.VosePoisson(F38)</f>
        <v>81</v>
      </c>
      <c r="H38" s="43">
        <f t="shared" si="3"/>
        <v>76.966189269273613</v>
      </c>
      <c r="I38" s="43">
        <f t="shared" ca="1" si="4"/>
        <v>0</v>
      </c>
      <c r="J38" s="28"/>
      <c r="K38" s="28"/>
    </row>
    <row r="39" spans="2:11" x14ac:dyDescent="0.45">
      <c r="B39" s="41">
        <v>23</v>
      </c>
      <c r="C39" s="42">
        <v>0.746</v>
      </c>
      <c r="D39" s="43">
        <f t="shared" si="0"/>
        <v>104.11475701023704</v>
      </c>
      <c r="E39" s="44">
        <f t="shared" ca="1" si="1"/>
        <v>1</v>
      </c>
      <c r="F39" s="43">
        <f t="shared" ca="1" si="2"/>
        <v>77.669608729636835</v>
      </c>
      <c r="G39" s="45" cm="1">
        <f t="array" aca="1" ref="G39" ca="1">_xll.VoseOutput("Week 23","crashes","Crashes by week",23)+_xll.VosePoisson(F39)</f>
        <v>79</v>
      </c>
      <c r="H39" s="43">
        <f t="shared" si="3"/>
        <v>77.669608729636835</v>
      </c>
      <c r="I39" s="43">
        <f t="shared" ca="1" si="4"/>
        <v>0</v>
      </c>
      <c r="J39" s="28"/>
      <c r="K39" s="28"/>
    </row>
    <row r="40" spans="2:11" x14ac:dyDescent="0.45">
      <c r="B40" s="41">
        <v>24</v>
      </c>
      <c r="C40" s="42">
        <v>0.7621</v>
      </c>
      <c r="D40" s="43">
        <f t="shared" si="0"/>
        <v>104.30576269915233</v>
      </c>
      <c r="E40" s="44">
        <f t="shared" ca="1" si="1"/>
        <v>0.93041145379936618</v>
      </c>
      <c r="F40" s="43">
        <f t="shared" ca="1" si="2"/>
        <v>73.959729277809615</v>
      </c>
      <c r="G40" s="45" cm="1">
        <f t="array" aca="1" ref="G40" ca="1">_xll.VoseOutput("Week 24","crashes","Crashes by week",24)+_xll.VosePoisson(F40)</f>
        <v>74</v>
      </c>
      <c r="H40" s="43">
        <f t="shared" si="3"/>
        <v>79.491421753023985</v>
      </c>
      <c r="I40" s="43">
        <f t="shared" ca="1" si="4"/>
        <v>5.5316924752143706</v>
      </c>
      <c r="J40" s="28"/>
      <c r="K40" s="28"/>
    </row>
    <row r="41" spans="2:11" x14ac:dyDescent="0.45">
      <c r="B41" s="41">
        <v>25</v>
      </c>
      <c r="C41" s="42">
        <v>0.78359999999999996</v>
      </c>
      <c r="D41" s="43">
        <f t="shared" si="0"/>
        <v>104.49711880115264</v>
      </c>
      <c r="E41" s="44">
        <f t="shared" ca="1" si="1"/>
        <v>0.93041145379936618</v>
      </c>
      <c r="F41" s="43">
        <f t="shared" ca="1" si="2"/>
        <v>76.185757791265743</v>
      </c>
      <c r="G41" s="45" cm="1">
        <f t="array" aca="1" ref="G41" ca="1">_xll.VoseOutput("Week 25","crashes","Crashes by week",25)+_xll.VosePoisson(F41)</f>
        <v>86</v>
      </c>
      <c r="H41" s="43">
        <f t="shared" si="3"/>
        <v>81.8839422925832</v>
      </c>
      <c r="I41" s="43">
        <f t="shared" ca="1" si="4"/>
        <v>5.6981845013174564</v>
      </c>
      <c r="J41" s="28"/>
      <c r="K41" s="28"/>
    </row>
    <row r="42" spans="2:11" x14ac:dyDescent="0.45">
      <c r="B42" s="41">
        <v>26</v>
      </c>
      <c r="C42" s="42">
        <v>0.79379999999999995</v>
      </c>
      <c r="D42" s="43">
        <f t="shared" si="0"/>
        <v>104.68882595909486</v>
      </c>
      <c r="E42" s="44">
        <f t="shared" ca="1" si="1"/>
        <v>0.93041145379936618</v>
      </c>
      <c r="F42" s="43">
        <f t="shared" ca="1" si="2"/>
        <v>77.319043372625885</v>
      </c>
      <c r="G42" s="45" cm="1">
        <f t="array" aca="1" ref="G42" ca="1">_xll.VoseOutput("Week 26","crashes","Crashes by week",26)+_xll.VosePoisson(F42)</f>
        <v>77</v>
      </c>
      <c r="H42" s="43">
        <f t="shared" si="3"/>
        <v>83.10199004632949</v>
      </c>
      <c r="I42" s="43">
        <f t="shared" ca="1" si="4"/>
        <v>5.7829466737036057</v>
      </c>
      <c r="J42" s="28"/>
      <c r="K42" s="28"/>
    </row>
    <row r="43" spans="2:11" x14ac:dyDescent="0.45">
      <c r="B43" s="41">
        <v>27</v>
      </c>
      <c r="C43" s="42">
        <v>0.79920000000000002</v>
      </c>
      <c r="D43" s="43">
        <f t="shared" si="0"/>
        <v>104.88088481701531</v>
      </c>
      <c r="E43" s="44">
        <f t="shared" ca="1" si="1"/>
        <v>0.93041145379936618</v>
      </c>
      <c r="F43" s="43">
        <f t="shared" ca="1" si="2"/>
        <v>77.987835313475784</v>
      </c>
      <c r="G43" s="45" cm="1">
        <f t="array" aca="1" ref="G43" ca="1">_xll.VoseOutput("Week 27","crashes","Crashes by week",27)+_xll.VosePoisson(F43)</f>
        <v>82</v>
      </c>
      <c r="H43" s="43">
        <f t="shared" si="3"/>
        <v>83.820803145758646</v>
      </c>
      <c r="I43" s="43">
        <f t="shared" ca="1" si="4"/>
        <v>5.8329678322828613</v>
      </c>
      <c r="J43" s="28"/>
      <c r="K43" s="28"/>
    </row>
    <row r="44" spans="2:11" x14ac:dyDescent="0.45">
      <c r="B44" s="41">
        <v>28</v>
      </c>
      <c r="C44" s="42">
        <v>0.80620000000000003</v>
      </c>
      <c r="D44" s="43">
        <f t="shared" si="0"/>
        <v>105.07329602013178</v>
      </c>
      <c r="E44" s="44">
        <f t="shared" ca="1" si="1"/>
        <v>0.93041145379936618</v>
      </c>
      <c r="F44" s="43">
        <f t="shared" ca="1" si="2"/>
        <v>78.815239152720181</v>
      </c>
      <c r="G44" s="45" cm="1">
        <f t="array" aca="1" ref="G44" ca="1">_xll.VoseOutput("Week 28","crashes","Crashes by week",28)+_xll.VosePoisson(F44)</f>
        <v>79</v>
      </c>
      <c r="H44" s="43">
        <f t="shared" si="3"/>
        <v>84.710091251430242</v>
      </c>
      <c r="I44" s="43">
        <f t="shared" ca="1" si="4"/>
        <v>5.8948520987100608</v>
      </c>
      <c r="J44" s="28"/>
      <c r="K44" s="28"/>
    </row>
    <row r="45" spans="2:11" x14ac:dyDescent="0.45">
      <c r="B45" s="41">
        <v>29</v>
      </c>
      <c r="C45" s="42">
        <v>0.80620000000000003</v>
      </c>
      <c r="D45" s="43">
        <f t="shared" si="0"/>
        <v>105.26606021484584</v>
      </c>
      <c r="E45" s="44">
        <f t="shared" ca="1" si="1"/>
        <v>0.93041145379936618</v>
      </c>
      <c r="F45" s="43">
        <f t="shared" ca="1" si="2"/>
        <v>78.959831134526468</v>
      </c>
      <c r="G45" s="45" cm="1">
        <f t="array" aca="1" ref="G45" ca="1">_xll.VoseOutput("Week 29","crashes","Crashes by week",29)+_xll.VosePoisson(F45)</f>
        <v>87</v>
      </c>
      <c r="H45" s="43">
        <f t="shared" si="3"/>
        <v>84.865497745208714</v>
      </c>
      <c r="I45" s="43">
        <f t="shared" ca="1" si="4"/>
        <v>5.9056666106822462</v>
      </c>
      <c r="J45" s="28"/>
      <c r="K45" s="28"/>
    </row>
    <row r="46" spans="2:11" x14ac:dyDescent="0.45">
      <c r="B46" s="41">
        <v>30</v>
      </c>
      <c r="C46" s="42">
        <v>0.80989999999999995</v>
      </c>
      <c r="D46" s="43">
        <f t="shared" si="0"/>
        <v>105.4591780487448</v>
      </c>
      <c r="E46" s="44">
        <f t="shared" ca="1" si="1"/>
        <v>0.93041145379936618</v>
      </c>
      <c r="F46" s="43">
        <f t="shared" ca="1" si="2"/>
        <v>79.467733960786788</v>
      </c>
      <c r="G46" s="45" cm="1">
        <f t="array" aca="1" ref="G46" ca="1">_xll.VoseOutput("Week 30","crashes","Crashes by week",30)+_xll.VosePoisson(F46)</f>
        <v>75</v>
      </c>
      <c r="H46" s="43">
        <f t="shared" si="3"/>
        <v>85.411388301678414</v>
      </c>
      <c r="I46" s="43">
        <f t="shared" ca="1" si="4"/>
        <v>5.9436543408916265</v>
      </c>
      <c r="J46" s="28"/>
      <c r="K46" s="28"/>
    </row>
    <row r="47" spans="2:11" x14ac:dyDescent="0.45">
      <c r="B47" s="41">
        <v>31</v>
      </c>
      <c r="C47" s="42">
        <v>0.82069999999999999</v>
      </c>
      <c r="D47" s="43">
        <f t="shared" si="0"/>
        <v>105.65265017060419</v>
      </c>
      <c r="E47" s="44">
        <f t="shared" ca="1" si="1"/>
        <v>0.93041145379936618</v>
      </c>
      <c r="F47" s="43">
        <f t="shared" ca="1" si="2"/>
        <v>80.675167696340012</v>
      </c>
      <c r="G47" s="45" cm="1">
        <f t="array" aca="1" ref="G47" ca="1">_xll.VoseOutput("Week 31","crashes","Crashes by week",31)+_xll.VosePoisson(F47)</f>
        <v>76</v>
      </c>
      <c r="H47" s="43">
        <f t="shared" si="3"/>
        <v>86.709129995014862</v>
      </c>
      <c r="I47" s="43">
        <f t="shared" ca="1" si="4"/>
        <v>6.0339622986748509</v>
      </c>
      <c r="J47" s="28"/>
      <c r="K47" s="28"/>
    </row>
    <row r="48" spans="2:11" x14ac:dyDescent="0.45">
      <c r="B48" s="41">
        <v>32</v>
      </c>
      <c r="C48" s="42">
        <v>0.82069999999999999</v>
      </c>
      <c r="D48" s="43">
        <f t="shared" si="0"/>
        <v>105.84647723038954</v>
      </c>
      <c r="E48" s="44">
        <f t="shared" ca="1" si="1"/>
        <v>0.93041145379936618</v>
      </c>
      <c r="F48" s="43">
        <f t="shared" ca="1" si="2"/>
        <v>80.823171845095587</v>
      </c>
      <c r="G48" s="45" cm="1">
        <f t="array" aca="1" ref="G48" ca="1">_xll.VoseOutput("Week 32","crashes","Crashes by week",32)+_xll.VosePoisson(F48)</f>
        <v>74</v>
      </c>
      <c r="H48" s="43">
        <f t="shared" si="3"/>
        <v>86.868203862980693</v>
      </c>
      <c r="I48" s="43">
        <f t="shared" ca="1" si="4"/>
        <v>6.0450320178851058</v>
      </c>
      <c r="J48" s="28"/>
      <c r="K48" s="28"/>
    </row>
    <row r="49" spans="2:11" x14ac:dyDescent="0.45">
      <c r="B49" s="41">
        <v>33</v>
      </c>
      <c r="C49" s="42">
        <v>0.82609999999999995</v>
      </c>
      <c r="D49" s="43">
        <f t="shared" ref="D49:D68" si="5">Start*(1+WeeklyGrowth)^(B49-1)</f>
        <v>106.04065987925901</v>
      </c>
      <c r="E49" s="44">
        <f t="shared" ref="E49:E68" ca="1" si="6">IF(AND(Passes=1,B49&gt;=LawWeek),1+Effect,1)</f>
        <v>0.93041145379936618</v>
      </c>
      <c r="F49" s="43">
        <f t="shared" ref="F49:F80" ca="1" si="7">D49*C49*E49</f>
        <v>81.504219318059143</v>
      </c>
      <c r="G49" s="45" cm="1">
        <f t="array" aca="1" ref="G49" ca="1">_xll.VoseOutput("Week 33","crashes","Crashes by week",33)+_xll.VosePoisson(F49)</f>
        <v>91</v>
      </c>
      <c r="H49" s="43">
        <f t="shared" ref="H49:H68" si="8">D49*C49</f>
        <v>87.600189126255856</v>
      </c>
      <c r="I49" s="43">
        <f t="shared" ref="I49:I80" ca="1" si="9">H49-F49</f>
        <v>6.0959698081967133</v>
      </c>
      <c r="J49" s="28"/>
      <c r="K49" s="28"/>
    </row>
    <row r="50" spans="2:11" x14ac:dyDescent="0.45">
      <c r="B50" s="41">
        <v>34</v>
      </c>
      <c r="C50" s="42">
        <v>0.82609999999999995</v>
      </c>
      <c r="D50" s="43">
        <f t="shared" si="5"/>
        <v>106.2351987695652</v>
      </c>
      <c r="E50" s="44">
        <f t="shared" ca="1" si="6"/>
        <v>0.93041145379936618</v>
      </c>
      <c r="F50" s="43">
        <f t="shared" ca="1" si="7"/>
        <v>81.653744419086067</v>
      </c>
      <c r="G50" s="45" cm="1">
        <f t="array" aca="1" ref="G50" ca="1">_xll.VoseOutput("Week 34","crashes","Crashes by week",34)+_xll.VosePoisson(F50)</f>
        <v>93</v>
      </c>
      <c r="H50" s="43">
        <f t="shared" si="8"/>
        <v>87.760897703537808</v>
      </c>
      <c r="I50" s="43">
        <f t="shared" ca="1" si="9"/>
        <v>6.1071532844517407</v>
      </c>
      <c r="J50" s="28"/>
      <c r="K50" s="28"/>
    </row>
    <row r="51" spans="2:11" x14ac:dyDescent="0.45">
      <c r="B51" s="41">
        <v>35</v>
      </c>
      <c r="C51" s="42">
        <v>0.83679999999999999</v>
      </c>
      <c r="D51" s="43">
        <f t="shared" si="5"/>
        <v>106.43009455485756</v>
      </c>
      <c r="E51" s="44">
        <f t="shared" ca="1" si="6"/>
        <v>0.93041145379936618</v>
      </c>
      <c r="F51" s="43">
        <f t="shared" ca="1" si="7"/>
        <v>82.863098269533864</v>
      </c>
      <c r="G51" s="45" cm="1">
        <f t="array" aca="1" ref="G51" ca="1">_xll.VoseOutput("Week 35","crashes","Crashes by week",35)+_xll.VosePoisson(F51)</f>
        <v>71</v>
      </c>
      <c r="H51" s="43">
        <f t="shared" si="8"/>
        <v>89.060703123504808</v>
      </c>
      <c r="I51" s="43">
        <f t="shared" ca="1" si="9"/>
        <v>6.1976048539709439</v>
      </c>
      <c r="J51" s="28"/>
      <c r="K51" s="28"/>
    </row>
    <row r="52" spans="2:11" x14ac:dyDescent="0.45">
      <c r="B52" s="41">
        <v>36</v>
      </c>
      <c r="C52" s="42">
        <v>0.84219999999999995</v>
      </c>
      <c r="D52" s="43">
        <f t="shared" si="5"/>
        <v>106.62534788988451</v>
      </c>
      <c r="E52" s="44">
        <f t="shared" ca="1" si="6"/>
        <v>0.93041145379936618</v>
      </c>
      <c r="F52" s="43">
        <f t="shared" ca="1" si="7"/>
        <v>83.550825730228723</v>
      </c>
      <c r="G52" s="45" cm="1">
        <f t="array" aca="1" ref="G52" ca="1">_xll.VoseOutput("Week 36","crashes","Crashes by week",36)+_xll.VosePoisson(F52)</f>
        <v>95</v>
      </c>
      <c r="H52" s="43">
        <f t="shared" si="8"/>
        <v>89.799867992860726</v>
      </c>
      <c r="I52" s="43">
        <f t="shared" ca="1" si="9"/>
        <v>6.2490422626320026</v>
      </c>
      <c r="J52" s="28"/>
      <c r="K52" s="28"/>
    </row>
    <row r="53" spans="2:11" x14ac:dyDescent="0.45">
      <c r="B53" s="41">
        <v>37</v>
      </c>
      <c r="C53" s="42">
        <v>0.84699999999999998</v>
      </c>
      <c r="D53" s="43">
        <f t="shared" si="5"/>
        <v>106.82095943059571</v>
      </c>
      <c r="E53" s="44">
        <f t="shared" ca="1" si="6"/>
        <v>0.93041145379936618</v>
      </c>
      <c r="F53" s="43">
        <f t="shared" ca="1" si="7"/>
        <v>84.181165203573926</v>
      </c>
      <c r="G53" s="45" cm="1">
        <f t="array" aca="1" ref="G53" ca="1">_xll.VoseOutput("Week 37","crashes","Crashes by week",37)+_xll.VosePoisson(F53)</f>
        <v>81</v>
      </c>
      <c r="H53" s="43">
        <f t="shared" si="8"/>
        <v>90.47735263771456</v>
      </c>
      <c r="I53" s="43">
        <f t="shared" ca="1" si="9"/>
        <v>6.2961874341406343</v>
      </c>
      <c r="J53" s="28"/>
      <c r="K53" s="28"/>
    </row>
    <row r="54" spans="2:11" x14ac:dyDescent="0.45">
      <c r="B54" s="41">
        <v>38</v>
      </c>
      <c r="C54" s="42">
        <v>0.84699999999999998</v>
      </c>
      <c r="D54" s="43">
        <f t="shared" si="5"/>
        <v>107.01692983414404</v>
      </c>
      <c r="E54" s="44">
        <f t="shared" ca="1" si="6"/>
        <v>0.93041145379936618</v>
      </c>
      <c r="F54" s="43">
        <f t="shared" ca="1" si="7"/>
        <v>84.335601346106714</v>
      </c>
      <c r="G54" s="45" cm="1">
        <f t="array" aca="1" ref="G54" ca="1">_xll.VoseOutput("Week 38","crashes","Crashes by week",38)+_xll.VosePoisson(F54)</f>
        <v>88</v>
      </c>
      <c r="H54" s="43">
        <f t="shared" si="8"/>
        <v>90.643339569519995</v>
      </c>
      <c r="I54" s="43">
        <f t="shared" ca="1" si="9"/>
        <v>6.3077382234132813</v>
      </c>
      <c r="J54" s="28"/>
      <c r="K54" s="28"/>
    </row>
    <row r="55" spans="2:11" x14ac:dyDescent="0.45">
      <c r="B55" s="41">
        <v>39</v>
      </c>
      <c r="C55" s="42">
        <v>0.8599</v>
      </c>
      <c r="D55" s="43">
        <f t="shared" si="5"/>
        <v>107.21325975888816</v>
      </c>
      <c r="E55" s="44">
        <f t="shared" ca="1" si="6"/>
        <v>0.93041145379936618</v>
      </c>
      <c r="F55" s="43">
        <f t="shared" ca="1" si="7"/>
        <v>85.777127351311265</v>
      </c>
      <c r="G55" s="45" cm="1">
        <f t="array" aca="1" ref="G55" ca="1">_xll.VoseOutput("Week 39","crashes","Crashes by week",39)+_xll.VosePoisson(F55)</f>
        <v>100</v>
      </c>
      <c r="H55" s="43">
        <f t="shared" si="8"/>
        <v>92.192682066667928</v>
      </c>
      <c r="I55" s="43">
        <f t="shared" ca="1" si="9"/>
        <v>6.415554715356663</v>
      </c>
      <c r="J55" s="28"/>
      <c r="K55" s="28"/>
    </row>
    <row r="56" spans="2:11" x14ac:dyDescent="0.45">
      <c r="B56" s="41">
        <v>40</v>
      </c>
      <c r="C56" s="42">
        <v>0.86309999999999998</v>
      </c>
      <c r="D56" s="43">
        <f t="shared" si="5"/>
        <v>107.40994986439438</v>
      </c>
      <c r="E56" s="44">
        <f t="shared" ca="1" si="6"/>
        <v>0.93041145379936618</v>
      </c>
      <c r="F56" s="43">
        <f t="shared" ca="1" si="7"/>
        <v>86.254284828607581</v>
      </c>
      <c r="G56" s="45" cm="1">
        <f t="array" aca="1" ref="G56" ca="1">_xll.VoseOutput("Week 40","crashes","Crashes by week",40)+_xll.VosePoisson(F56)</f>
        <v>97</v>
      </c>
      <c r="H56" s="43">
        <f t="shared" si="8"/>
        <v>92.705527727958781</v>
      </c>
      <c r="I56" s="43">
        <f t="shared" ca="1" si="9"/>
        <v>6.4512428993512003</v>
      </c>
      <c r="J56" s="28"/>
      <c r="K56" s="28"/>
    </row>
    <row r="57" spans="2:11" x14ac:dyDescent="0.45">
      <c r="B57" s="41">
        <v>41</v>
      </c>
      <c r="C57" s="42">
        <v>0.87390000000000001</v>
      </c>
      <c r="D57" s="43">
        <f t="shared" si="5"/>
        <v>107.60700081143921</v>
      </c>
      <c r="E57" s="44">
        <f t="shared" ca="1" si="6"/>
        <v>0.93041145379936618</v>
      </c>
      <c r="F57" s="43">
        <f t="shared" ca="1" si="7"/>
        <v>87.493807141295292</v>
      </c>
      <c r="G57" s="45" cm="1">
        <f t="array" aca="1" ref="G57" ca="1">_xll.VoseOutput("Week 41","crashes","Crashes by week",41)+_xll.VosePoisson(F57)</f>
        <v>92</v>
      </c>
      <c r="H57" s="43">
        <f t="shared" si="8"/>
        <v>94.037758009116729</v>
      </c>
      <c r="I57" s="43">
        <f t="shared" ca="1" si="9"/>
        <v>6.5439508678214366</v>
      </c>
      <c r="J57" s="28"/>
      <c r="K57" s="28"/>
    </row>
    <row r="58" spans="2:11" x14ac:dyDescent="0.45">
      <c r="B58" s="41">
        <v>42</v>
      </c>
      <c r="C58" s="42">
        <v>0.87929999999999997</v>
      </c>
      <c r="D58" s="43">
        <f t="shared" si="5"/>
        <v>107.80441326201118</v>
      </c>
      <c r="E58" s="44">
        <f t="shared" ca="1" si="6"/>
        <v>0.93041145379936618</v>
      </c>
      <c r="F58" s="43">
        <f t="shared" ca="1" si="7"/>
        <v>88.195953842195664</v>
      </c>
      <c r="G58" s="45" cm="1">
        <f t="array" aca="1" ref="G58" ca="1">_xll.VoseOutput("Week 42","crashes","Crashes by week",42)+_xll.VosePoisson(F58)</f>
        <v>97</v>
      </c>
      <c r="H58" s="43">
        <f t="shared" si="8"/>
        <v>94.792420581286422</v>
      </c>
      <c r="I58" s="43">
        <f t="shared" ca="1" si="9"/>
        <v>6.5964667390907579</v>
      </c>
      <c r="J58" s="28"/>
      <c r="K58" s="28"/>
    </row>
    <row r="59" spans="2:11" x14ac:dyDescent="0.45">
      <c r="B59" s="41">
        <v>43</v>
      </c>
      <c r="C59" s="42">
        <v>0.89539999999999997</v>
      </c>
      <c r="D59" s="43">
        <f t="shared" si="5"/>
        <v>108.00218787931348</v>
      </c>
      <c r="E59" s="44">
        <f t="shared" ca="1" si="6"/>
        <v>0.93041145379936618</v>
      </c>
      <c r="F59" s="43">
        <f t="shared" ca="1" si="7"/>
        <v>89.975587600337704</v>
      </c>
      <c r="G59" s="45" cm="1">
        <f t="array" aca="1" ref="G59" ca="1">_xll.VoseOutput("Week 43","crashes","Crashes by week",43)+_xll.VosePoisson(F59)</f>
        <v>90</v>
      </c>
      <c r="H59" s="43">
        <f t="shared" si="8"/>
        <v>96.705159027137285</v>
      </c>
      <c r="I59" s="43">
        <f t="shared" ca="1" si="9"/>
        <v>6.7295714267995805</v>
      </c>
      <c r="J59" s="28"/>
      <c r="K59" s="28"/>
    </row>
    <row r="60" spans="2:11" x14ac:dyDescent="0.45">
      <c r="B60" s="41">
        <v>44</v>
      </c>
      <c r="C60" s="42">
        <v>0.92710000000000004</v>
      </c>
      <c r="D60" s="43">
        <f t="shared" si="5"/>
        <v>108.20032532776584</v>
      </c>
      <c r="E60" s="44">
        <f t="shared" ca="1" si="6"/>
        <v>0.93041145379936618</v>
      </c>
      <c r="F60" s="43">
        <f t="shared" ca="1" si="7"/>
        <v>93.331919066716694</v>
      </c>
      <c r="G60" s="45" cm="1">
        <f t="array" aca="1" ref="G60" ca="1">_xll.VoseOutput("Week 44","crashes","Crashes by week",44)+_xll.VosePoisson(F60)</f>
        <v>92</v>
      </c>
      <c r="H60" s="43">
        <f t="shared" si="8"/>
        <v>100.31252161137171</v>
      </c>
      <c r="I60" s="43">
        <f t="shared" ca="1" si="9"/>
        <v>6.9806025446550137</v>
      </c>
      <c r="J60" s="28"/>
      <c r="K60" s="28"/>
    </row>
    <row r="61" spans="2:11" x14ac:dyDescent="0.45">
      <c r="B61" s="41">
        <v>45</v>
      </c>
      <c r="C61" s="42">
        <v>0.9647</v>
      </c>
      <c r="D61" s="43">
        <f t="shared" si="5"/>
        <v>108.39882627300706</v>
      </c>
      <c r="E61" s="44">
        <f t="shared" ca="1" si="6"/>
        <v>0.93041145379936618</v>
      </c>
      <c r="F61" s="43">
        <f t="shared" ca="1" si="7"/>
        <v>97.295310055952115</v>
      </c>
      <c r="G61" s="45" cm="1">
        <f t="array" aca="1" ref="G61" ca="1">_xll.VoseOutput("Week 45","crashes","Crashes by week",45)+_xll.VosePoisson(F61)</f>
        <v>95</v>
      </c>
      <c r="H61" s="43">
        <f t="shared" si="8"/>
        <v>104.57234770556991</v>
      </c>
      <c r="I61" s="43">
        <f t="shared" ca="1" si="9"/>
        <v>7.277037649617796</v>
      </c>
      <c r="J61" s="28"/>
      <c r="K61" s="28"/>
    </row>
    <row r="62" spans="2:11" x14ac:dyDescent="0.45">
      <c r="B62" s="41">
        <v>46</v>
      </c>
      <c r="C62" s="42">
        <v>1.0179</v>
      </c>
      <c r="D62" s="43">
        <f t="shared" si="5"/>
        <v>108.59769138189692</v>
      </c>
      <c r="E62" s="44">
        <f t="shared" ca="1" si="6"/>
        <v>0.93041145379936618</v>
      </c>
      <c r="F62" s="43">
        <f t="shared" ca="1" si="7"/>
        <v>102.84916151081576</v>
      </c>
      <c r="G62" s="45" cm="1">
        <f t="array" aca="1" ref="G62" ca="1">_xll.VoseOutput("Week 46","crashes","Crashes by week",46)+_xll.VosePoisson(F62)</f>
        <v>118</v>
      </c>
      <c r="H62" s="43">
        <f t="shared" si="8"/>
        <v>110.54159005763287</v>
      </c>
      <c r="I62" s="43">
        <f t="shared" ca="1" si="9"/>
        <v>7.6924285468171121</v>
      </c>
      <c r="J62" s="28"/>
      <c r="K62" s="28"/>
    </row>
    <row r="63" spans="2:11" x14ac:dyDescent="0.45">
      <c r="B63" s="41">
        <v>47</v>
      </c>
      <c r="C63" s="42">
        <v>1.0819000000000001</v>
      </c>
      <c r="D63" s="43">
        <f t="shared" si="5"/>
        <v>108.79692132251884</v>
      </c>
      <c r="E63" s="44">
        <f t="shared" ca="1" si="6"/>
        <v>0.93041145379936618</v>
      </c>
      <c r="F63" s="43">
        <f t="shared" ca="1" si="7"/>
        <v>109.51630308880593</v>
      </c>
      <c r="G63" s="45" cm="1">
        <f t="array" aca="1" ref="G63" ca="1">_xll.VoseOutput("Week 47","crashes","Crashes by week",47)+_xll.VosePoisson(F63)</f>
        <v>116</v>
      </c>
      <c r="H63" s="43">
        <f t="shared" si="8"/>
        <v>117.70738917883314</v>
      </c>
      <c r="I63" s="43">
        <f t="shared" ca="1" si="9"/>
        <v>8.1910860900272127</v>
      </c>
      <c r="J63" s="28"/>
      <c r="K63" s="28"/>
    </row>
    <row r="64" spans="2:11" x14ac:dyDescent="0.45">
      <c r="B64" s="41">
        <v>48</v>
      </c>
      <c r="C64" s="42">
        <v>1.1614</v>
      </c>
      <c r="D64" s="43">
        <f t="shared" si="5"/>
        <v>108.99651676418158</v>
      </c>
      <c r="E64" s="44">
        <f t="shared" ca="1" si="6"/>
        <v>0.93041145379936618</v>
      </c>
      <c r="F64" s="43">
        <f t="shared" ca="1" si="7"/>
        <v>117.77944109176012</v>
      </c>
      <c r="G64" s="45" cm="1">
        <f t="array" aca="1" ref="G64" ca="1">_xll.VoseOutput("Week 48","crashes","Crashes by week",48)+_xll.VosePoisson(F64)</f>
        <v>120</v>
      </c>
      <c r="H64" s="43">
        <f t="shared" si="8"/>
        <v>126.58855456992049</v>
      </c>
      <c r="I64" s="43">
        <f t="shared" ca="1" si="9"/>
        <v>8.8091134781603699</v>
      </c>
      <c r="J64" s="28"/>
      <c r="K64" s="28"/>
    </row>
    <row r="65" spans="2:11" x14ac:dyDescent="0.45">
      <c r="B65" s="41">
        <v>49</v>
      </c>
      <c r="C65" s="42">
        <v>1.2576000000000001</v>
      </c>
      <c r="D65" s="43">
        <f t="shared" si="5"/>
        <v>109.1964783774221</v>
      </c>
      <c r="E65" s="44">
        <f t="shared" ca="1" si="6"/>
        <v>0.93041145379936618</v>
      </c>
      <c r="F65" s="43">
        <f t="shared" ca="1" si="7"/>
        <v>127.76920991803193</v>
      </c>
      <c r="G65" s="45" cm="1">
        <f t="array" aca="1" ref="G65" ca="1">_xll.VoseOutput("Week 49","crashes","Crashes by week",49)+_xll.VosePoisson(F65)</f>
        <v>141</v>
      </c>
      <c r="H65" s="43">
        <f t="shared" si="8"/>
        <v>137.32549120744602</v>
      </c>
      <c r="I65" s="43">
        <f t="shared" ca="1" si="9"/>
        <v>9.5562812894140876</v>
      </c>
      <c r="J65" s="28"/>
      <c r="K65" s="28"/>
    </row>
    <row r="66" spans="2:11" x14ac:dyDescent="0.45">
      <c r="B66" s="41">
        <v>50</v>
      </c>
      <c r="C66" s="42">
        <v>1.3435999999999999</v>
      </c>
      <c r="D66" s="43">
        <f t="shared" si="5"/>
        <v>109.39680683400728</v>
      </c>
      <c r="E66" s="44">
        <f t="shared" ca="1" si="6"/>
        <v>0.93041145379936618</v>
      </c>
      <c r="F66" s="43">
        <f t="shared" ca="1" si="7"/>
        <v>136.75703894868053</v>
      </c>
      <c r="G66" s="45" cm="1">
        <f t="array" aca="1" ref="G66" ca="1">_xll.VoseOutput("Week 50","crashes","Crashes by week",50)+_xll.VosePoisson(F66)</f>
        <v>150</v>
      </c>
      <c r="H66" s="43">
        <f t="shared" si="8"/>
        <v>146.98554966217216</v>
      </c>
      <c r="I66" s="43">
        <f t="shared" ca="1" si="9"/>
        <v>10.22851071349163</v>
      </c>
      <c r="J66" s="28"/>
      <c r="K66" s="28"/>
    </row>
    <row r="67" spans="2:11" x14ac:dyDescent="0.45">
      <c r="B67" s="41">
        <v>51</v>
      </c>
      <c r="C67" s="42">
        <v>1.4118999999999999</v>
      </c>
      <c r="D67" s="43">
        <f t="shared" si="5"/>
        <v>109.59750280693655</v>
      </c>
      <c r="E67" s="44">
        <f t="shared" ca="1" si="6"/>
        <v>0.93041145379936618</v>
      </c>
      <c r="F67" s="43">
        <f t="shared" ca="1" si="7"/>
        <v>143.97253287297536</v>
      </c>
      <c r="G67" s="45" cm="1">
        <f t="array" aca="1" ref="G67" ca="1">_xll.VoseOutput("Week 51","crashes","Crashes by week",51)+_xll.VosePoisson(F67)</f>
        <v>129</v>
      </c>
      <c r="H67" s="43">
        <f t="shared" si="8"/>
        <v>154.74071421311371</v>
      </c>
      <c r="I67" s="43">
        <f t="shared" ca="1" si="9"/>
        <v>10.768181340138341</v>
      </c>
      <c r="J67" s="28"/>
      <c r="K67" s="28"/>
    </row>
    <row r="68" spans="2:11" x14ac:dyDescent="0.45">
      <c r="B68" s="41">
        <v>52</v>
      </c>
      <c r="C68" s="42">
        <v>1.5081</v>
      </c>
      <c r="D68" s="43">
        <f t="shared" si="5"/>
        <v>109.7985669704439</v>
      </c>
      <c r="E68" s="44">
        <f t="shared" ca="1" si="6"/>
        <v>0.93041145379936618</v>
      </c>
      <c r="F68" s="43">
        <f t="shared" ca="1" si="7"/>
        <v>154.06424501907912</v>
      </c>
      <c r="G68" s="45" cm="1">
        <f t="array" aca="1" ref="G68" ca="1">_xll.VoseOutput("Week 52","crashes","Crashes by week",52)+_xll.VosePoisson(F68)</f>
        <v>142</v>
      </c>
      <c r="H68" s="43">
        <f t="shared" si="8"/>
        <v>165.58721884812644</v>
      </c>
      <c r="I68" s="43">
        <f t="shared" ca="1" si="9"/>
        <v>11.522973829047316</v>
      </c>
      <c r="J68" s="28"/>
      <c r="K68" s="28"/>
    </row>
    <row r="69" spans="2:11" x14ac:dyDescent="0.45">
      <c r="B69" s="46" t="s">
        <v>150</v>
      </c>
      <c r="C69" s="47">
        <f>AVERAGE(C17:C68)</f>
        <v>0.99999999999999989</v>
      </c>
      <c r="D69" s="48"/>
      <c r="E69" s="48"/>
      <c r="F69" s="49">
        <f ca="1">SUM(F17:F68)</f>
        <v>5237.3748636129003</v>
      </c>
      <c r="G69" s="49">
        <f ca="1">SUM(G17:G68)</f>
        <v>5349</v>
      </c>
      <c r="H69" s="49">
        <f>SUM(H17:H68)</f>
        <v>5441.0605204588528</v>
      </c>
      <c r="I69" s="49">
        <f ca="1">SUM(I17:I68)</f>
        <v>203.685656845956</v>
      </c>
      <c r="J69" s="48"/>
      <c r="K69" s="50" t="s">
        <v>151</v>
      </c>
    </row>
    <row r="70" spans="2:11" ht="8" customHeight="1" x14ac:dyDescent="0.45"/>
    <row r="71" spans="2:11" ht="22.05" customHeight="1" x14ac:dyDescent="0.5">
      <c r="B71" s="7" t="s">
        <v>152</v>
      </c>
      <c r="C71" s="8"/>
      <c r="D71" s="8"/>
      <c r="E71" s="8"/>
      <c r="F71" s="8"/>
      <c r="G71" s="8"/>
      <c r="H71" s="8"/>
      <c r="I71" s="8"/>
      <c r="J71" s="8"/>
      <c r="K71" s="8"/>
    </row>
    <row r="72" spans="2:11" ht="18" customHeight="1" x14ac:dyDescent="0.45">
      <c r="B72" s="13" t="s">
        <v>153</v>
      </c>
    </row>
    <row r="73" spans="2:11" ht="18" customHeight="1" x14ac:dyDescent="0.45">
      <c r="B73" s="51" t="s">
        <v>154</v>
      </c>
      <c r="C73" s="5"/>
      <c r="D73" s="51" t="s">
        <v>93</v>
      </c>
      <c r="E73" s="52" t="s">
        <v>155</v>
      </c>
      <c r="F73" s="5"/>
      <c r="G73" s="5"/>
      <c r="H73" s="5"/>
      <c r="I73" s="5"/>
      <c r="J73" s="5"/>
      <c r="K73" s="51" t="s">
        <v>156</v>
      </c>
    </row>
    <row r="74" spans="2:11" x14ac:dyDescent="0.45">
      <c r="B74" s="25" t="s">
        <v>157</v>
      </c>
      <c r="C74" s="28"/>
      <c r="D74" s="26" t="s">
        <v>98</v>
      </c>
      <c r="E74" s="45" cm="1">
        <f t="array" aca="1" ref="E74" ca="1">_xll.VoseOutput("Crashes in the year","crashes")+G69</f>
        <v>5349</v>
      </c>
      <c r="F74" s="28"/>
      <c r="G74" s="28"/>
      <c r="H74" s="28"/>
      <c r="I74" s="28"/>
      <c r="J74" s="28"/>
      <c r="K74" s="26"/>
    </row>
    <row r="75" spans="2:11" x14ac:dyDescent="0.45">
      <c r="B75" s="25" t="s">
        <v>158</v>
      </c>
      <c r="C75" s="28"/>
      <c r="D75" s="26" t="s">
        <v>98</v>
      </c>
      <c r="E75" s="53">
        <f>H69</f>
        <v>5441.0605204588528</v>
      </c>
      <c r="F75" s="28"/>
      <c r="G75" s="28"/>
      <c r="H75" s="28"/>
      <c r="I75" s="28"/>
      <c r="J75" s="28"/>
      <c r="K75" s="26" t="s">
        <v>159</v>
      </c>
    </row>
    <row r="76" spans="2:11" x14ac:dyDescent="0.45">
      <c r="B76" s="25" t="s">
        <v>160</v>
      </c>
      <c r="C76" s="28"/>
      <c r="D76" s="26" t="s">
        <v>98</v>
      </c>
      <c r="E76" s="45" cm="1">
        <f t="array" aca="1" ref="E76" ca="1">_xll.VoseOutput("Crashes avoided by the law","crashes")+I69</f>
        <v>203.685656845956</v>
      </c>
      <c r="F76" s="28"/>
      <c r="G76" s="28"/>
      <c r="H76" s="28"/>
      <c r="I76" s="28"/>
      <c r="J76" s="28"/>
      <c r="K76" s="26" t="s">
        <v>161</v>
      </c>
    </row>
    <row r="77" spans="2:11" ht="8" customHeight="1" x14ac:dyDescent="0.45"/>
    <row r="78" spans="2:11" ht="22.05" customHeight="1" x14ac:dyDescent="0.5">
      <c r="B78" s="7" t="s">
        <v>162</v>
      </c>
      <c r="C78" s="8"/>
      <c r="D78" s="8"/>
      <c r="E78" s="8"/>
      <c r="F78" s="8"/>
      <c r="G78" s="8"/>
      <c r="H78" s="8"/>
      <c r="I78" s="8"/>
      <c r="J78" s="8"/>
      <c r="K78" s="8"/>
    </row>
    <row r="79" spans="2:11" ht="18" customHeight="1" x14ac:dyDescent="0.45">
      <c r="B79" s="13" t="s">
        <v>163</v>
      </c>
    </row>
    <row r="80" spans="2:11" x14ac:dyDescent="0.45">
      <c r="B80" s="25" t="s">
        <v>164</v>
      </c>
      <c r="C80" s="28"/>
      <c r="D80" s="28"/>
      <c r="E80" s="54" t="str">
        <f>IF(ABS(SIAvg-1)&lt;0.005,"OK","CHECK")</f>
        <v>OK</v>
      </c>
      <c r="F80" s="28"/>
      <c r="G80" s="28"/>
      <c r="H80" s="28"/>
      <c r="I80" s="28"/>
      <c r="J80" s="28"/>
      <c r="K80" s="28"/>
    </row>
    <row r="81" spans="2:11" x14ac:dyDescent="0.45">
      <c r="B81" s="25" t="s">
        <v>165</v>
      </c>
      <c r="C81" s="28"/>
      <c r="D81" s="28"/>
      <c r="E81" s="54" t="str">
        <f>IF(AND(FirstWeek&gt;=1,FirstWeek&lt;=LastWeek,LastWeek&lt;=52),"OK","CHECK")</f>
        <v>OK</v>
      </c>
      <c r="F81" s="28"/>
      <c r="G81" s="28"/>
      <c r="H81" s="28"/>
      <c r="I81" s="28"/>
      <c r="J81" s="28"/>
      <c r="K81" s="28"/>
    </row>
    <row r="82" spans="2:11" ht="14" customHeight="1" x14ac:dyDescent="0.45"/>
  </sheetData>
  <conditionalFormatting sqref="E80:E81">
    <cfRule type="expression" dxfId="5" priority="1">
      <formula>E80="CHECK"</formula>
    </cfRule>
  </conditionalFormatting>
  <dataValidations count="1">
    <dataValidation type="decimal" operator="greaterThan" showErrorMessage="1" errorTitle="Seasonal index" error="Enter 0 or more." sqref="C17:C68" xr:uid="{00000000-0002-0000-0200-000000000000}">
      <formula1>0</formula1>
    </dataValidation>
  </dataValidations>
  <hyperlinks>
    <hyperlink ref="B4" location="'Inputs'!A1" display="◂  Inputs" xr:uid="{00000000-0004-0000-0200-000000000000}"/>
    <hyperlink ref="K4" location="'Results'!A1" display="Next:  Results  ▸" xr:uid="{00000000-0004-0000-0200-000001000000}"/>
  </hyperlinks>
  <printOptions horizontalCentered="1"/>
  <pageMargins left="0.4" right="0.4" top="0.5" bottom="0.6" header="0.25" footer="0.25"/>
  <pageSetup paperSize="9" scale="86"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283"/>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166</v>
      </c>
      <c r="C3" s="1"/>
      <c r="D3" s="1"/>
      <c r="E3" s="1"/>
      <c r="F3" s="1"/>
      <c r="G3" s="1"/>
      <c r="H3" s="1"/>
      <c r="I3" s="1"/>
      <c r="J3" s="1"/>
      <c r="K3" s="1"/>
      <c r="L3" s="1"/>
      <c r="M3" s="1"/>
      <c r="N3" s="1"/>
      <c r="O3" s="1"/>
      <c r="P3" s="1"/>
      <c r="Q3" s="1"/>
      <c r="R3" s="1"/>
    </row>
    <row r="4" spans="1:18" ht="20" customHeight="1" x14ac:dyDescent="0.45">
      <c r="A4" s="5"/>
      <c r="B4" s="22" t="s">
        <v>167</v>
      </c>
      <c r="C4" s="5"/>
      <c r="D4" s="5"/>
      <c r="E4" s="5"/>
      <c r="F4" s="5"/>
      <c r="G4" s="5"/>
      <c r="H4" s="5"/>
      <c r="I4" s="5"/>
      <c r="J4" s="5"/>
      <c r="K4" s="5"/>
      <c r="L4" s="5"/>
      <c r="M4" s="5"/>
      <c r="N4" s="5"/>
      <c r="O4" s="5"/>
      <c r="P4" s="5"/>
      <c r="Q4" s="5"/>
      <c r="R4" s="5"/>
    </row>
    <row r="5" spans="1:18" ht="8" customHeight="1" x14ac:dyDescent="0.45"/>
    <row r="6" spans="1:18" ht="26" customHeight="1" x14ac:dyDescent="0.45">
      <c r="B6" s="55" t="str" cm="1">
        <f t="array" aca="1" ref="B6" ca="1">IF(ISNUMBER(_xll.VoseSimMean(Total)),"✔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56"/>
      <c r="D6" s="56"/>
      <c r="E6" s="56"/>
      <c r="F6" s="56"/>
      <c r="G6" s="56"/>
    </row>
    <row r="7" spans="1:18" x14ac:dyDescent="0.45">
      <c r="B7" s="57"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168</v>
      </c>
      <c r="C9" s="8"/>
      <c r="D9" s="8"/>
      <c r="E9" s="8"/>
      <c r="F9" s="8"/>
      <c r="G9" s="8"/>
      <c r="I9" s="58" t="s">
        <v>169</v>
      </c>
      <c r="J9" s="8"/>
      <c r="K9" s="8"/>
      <c r="L9" s="8"/>
      <c r="M9" s="8"/>
      <c r="N9" s="8"/>
      <c r="O9" s="8"/>
      <c r="P9" s="8"/>
      <c r="Q9" s="8"/>
      <c r="R9" s="8"/>
    </row>
    <row r="10" spans="1:18" ht="18" customHeight="1" x14ac:dyDescent="0.45">
      <c r="B10" s="13" t="s">
        <v>170</v>
      </c>
    </row>
    <row r="11" spans="1:18" ht="18" customHeight="1" x14ac:dyDescent="0.45">
      <c r="B11" s="23" t="s">
        <v>171</v>
      </c>
      <c r="C11" s="23" t="s">
        <v>93</v>
      </c>
      <c r="D11" s="24" t="s">
        <v>155</v>
      </c>
      <c r="E11" s="5"/>
      <c r="F11" s="5"/>
      <c r="G11" s="5"/>
    </row>
    <row r="12" spans="1:18" x14ac:dyDescent="0.45">
      <c r="B12" s="59" t="s">
        <v>158</v>
      </c>
      <c r="C12" s="26" t="s">
        <v>98</v>
      </c>
      <c r="D12" s="53">
        <f>ExpNoLaw</f>
        <v>5441.0605204588528</v>
      </c>
      <c r="E12" s="28"/>
      <c r="F12" s="28"/>
      <c r="G12" s="28"/>
    </row>
    <row r="13" spans="1:18" ht="22.05" customHeight="1" x14ac:dyDescent="0.45">
      <c r="B13" s="41" t="s">
        <v>172</v>
      </c>
      <c r="C13" s="26" t="s">
        <v>98</v>
      </c>
      <c r="D13" s="60" cm="1">
        <f t="array" aca="1" ref="D13" ca="1">_xll.VoseSimMean(Total)</f>
        <v>5236.3094000000001</v>
      </c>
      <c r="E13" s="28"/>
      <c r="F13" s="28"/>
      <c r="G13" s="28"/>
    </row>
    <row r="14" spans="1:18" x14ac:dyDescent="0.45">
      <c r="B14" s="59" t="s">
        <v>173</v>
      </c>
      <c r="C14" s="26" t="s">
        <v>111</v>
      </c>
      <c r="D14" s="61">
        <f>PLaw</f>
        <v>0.7</v>
      </c>
      <c r="E14" s="28"/>
      <c r="F14" s="28"/>
      <c r="G14" s="28"/>
    </row>
    <row r="15" spans="1:18" x14ac:dyDescent="0.45">
      <c r="B15" s="25" t="s">
        <v>174</v>
      </c>
      <c r="C15" s="26" t="s">
        <v>98</v>
      </c>
      <c r="D15" s="62" cm="1">
        <f t="array" aca="1" ref="D15" ca="1">_xll.VoseSimMean(Avoided)</f>
        <v>204.49756070470065</v>
      </c>
      <c r="E15" s="28"/>
      <c r="F15" s="28"/>
      <c r="G15" s="28"/>
    </row>
    <row r="16" spans="1:18" x14ac:dyDescent="0.45">
      <c r="B16" s="25" t="s">
        <v>175</v>
      </c>
      <c r="C16" s="26" t="s">
        <v>98</v>
      </c>
      <c r="D16" s="62" cm="1">
        <f t="array" aca="1" ref="D16" ca="1">_xll.VoseSimStdev(Total)</f>
        <v>156.3128671699304</v>
      </c>
      <c r="E16" s="28"/>
      <c r="F16" s="28"/>
      <c r="G16" s="28"/>
    </row>
    <row r="17" spans="2:18" x14ac:dyDescent="0.45">
      <c r="B17" s="59" t="s">
        <v>176</v>
      </c>
      <c r="C17" s="26" t="s">
        <v>98</v>
      </c>
      <c r="D17" s="53">
        <f>SQRT(ExpNoLaw)</f>
        <v>73.763544657634597</v>
      </c>
      <c r="E17" s="28"/>
      <c r="F17" s="28"/>
      <c r="G17" s="28"/>
    </row>
    <row r="18" spans="2:18" ht="18" customHeight="1" x14ac:dyDescent="0.45">
      <c r="B18" s="23" t="s">
        <v>171</v>
      </c>
      <c r="C18" s="23" t="s">
        <v>93</v>
      </c>
      <c r="D18" s="24" t="s">
        <v>177</v>
      </c>
      <c r="E18" s="24" t="s">
        <v>178</v>
      </c>
      <c r="F18" s="24" t="s">
        <v>179</v>
      </c>
      <c r="G18" s="24" t="s">
        <v>109</v>
      </c>
    </row>
    <row r="19" spans="2:18" x14ac:dyDescent="0.45">
      <c r="B19" s="25" t="s">
        <v>157</v>
      </c>
      <c r="C19" s="26" t="s">
        <v>98</v>
      </c>
      <c r="D19" s="62" cm="1">
        <f t="array" aca="1" ref="D19" ca="1">_xll.VoseSimPercentile(Total,0.1)</f>
        <v>5053</v>
      </c>
      <c r="E19" s="62" cm="1">
        <f t="array" aca="1" ref="E19" ca="1">_xll.VoseSimPercentile(Total,0.5)</f>
        <v>5202</v>
      </c>
      <c r="F19" s="62" cm="1">
        <f t="array" aca="1" ref="F19" ca="1">_xll.VoseSimPercentile(Total,0.9)</f>
        <v>5468</v>
      </c>
      <c r="G19" s="62" cm="1">
        <f t="array" aca="1" ref="G19" ca="1">_xll.VoseSimMean(Total)</f>
        <v>5236.3094000000001</v>
      </c>
    </row>
    <row r="20" spans="2:18" ht="8" customHeight="1" x14ac:dyDescent="0.45"/>
    <row r="25" spans="2:18" x14ac:dyDescent="0.45">
      <c r="I25" s="58" t="s">
        <v>180</v>
      </c>
      <c r="J25" s="8"/>
      <c r="K25" s="8"/>
      <c r="L25" s="8"/>
      <c r="M25" s="8"/>
      <c r="N25" s="8"/>
      <c r="O25" s="8"/>
      <c r="P25" s="8"/>
      <c r="Q25" s="8"/>
      <c r="R25" s="8"/>
    </row>
    <row r="40" spans="2:7" ht="22.05" customHeight="1" x14ac:dyDescent="0.5">
      <c r="B40" s="7" t="s">
        <v>181</v>
      </c>
      <c r="C40" s="8"/>
      <c r="D40" s="8"/>
      <c r="E40" s="8"/>
      <c r="F40" s="8"/>
      <c r="G40" s="8"/>
    </row>
    <row r="41" spans="2:7" ht="32" customHeight="1" x14ac:dyDescent="0.45">
      <c r="B41" s="71" t="s">
        <v>182</v>
      </c>
      <c r="C41" s="70"/>
      <c r="D41" s="70"/>
      <c r="E41" s="70"/>
      <c r="F41" s="70"/>
      <c r="G41" s="70"/>
    </row>
    <row r="42" spans="2:7" ht="19.05" customHeight="1" x14ac:dyDescent="0.45">
      <c r="B42" s="71" t="s">
        <v>183</v>
      </c>
      <c r="C42" s="70"/>
      <c r="D42" s="70"/>
      <c r="E42" s="70"/>
      <c r="F42" s="70"/>
      <c r="G42" s="70"/>
    </row>
    <row r="43" spans="2:7" ht="45" customHeight="1" x14ac:dyDescent="0.45">
      <c r="B43" s="71" t="s">
        <v>184</v>
      </c>
      <c r="C43" s="70"/>
      <c r="D43" s="70"/>
      <c r="E43" s="70"/>
      <c r="F43" s="70"/>
      <c r="G43" s="70"/>
    </row>
    <row r="44" spans="2:7" ht="19.05" customHeight="1" x14ac:dyDescent="0.45">
      <c r="B44" s="71" t="s">
        <v>185</v>
      </c>
      <c r="C44" s="70"/>
      <c r="D44" s="70"/>
      <c r="E44" s="70"/>
      <c r="F44" s="70"/>
      <c r="G44" s="70"/>
    </row>
    <row r="45" spans="2:7" ht="14" customHeight="1" x14ac:dyDescent="0.45"/>
    <row r="46" spans="2:7" ht="14" customHeight="1" x14ac:dyDescent="0.45"/>
    <row r="47" spans="2:7" ht="22.05" customHeight="1" x14ac:dyDescent="0.5">
      <c r="B47" s="7" t="s">
        <v>186</v>
      </c>
      <c r="C47" s="8"/>
      <c r="D47" s="8"/>
      <c r="E47" s="8"/>
      <c r="F47" s="8"/>
      <c r="G47" s="8"/>
    </row>
    <row r="48" spans="2:7" ht="18" customHeight="1" x14ac:dyDescent="0.45">
      <c r="B48" s="13" t="s">
        <v>187</v>
      </c>
    </row>
    <row r="49" spans="2:7" ht="28.05" hidden="1" customHeight="1" outlineLevel="1" x14ac:dyDescent="0.45">
      <c r="B49" s="24" t="s">
        <v>188</v>
      </c>
      <c r="C49" s="24" t="s">
        <v>189</v>
      </c>
      <c r="D49" s="24" t="s">
        <v>190</v>
      </c>
      <c r="E49" s="5"/>
      <c r="F49" s="5"/>
      <c r="G49" s="5"/>
    </row>
    <row r="50" spans="2:7" hidden="1" outlineLevel="1" x14ac:dyDescent="0.45">
      <c r="B50" s="63">
        <v>0.01</v>
      </c>
      <c r="C50" s="63">
        <f t="shared" ref="C50:C81" si="0">1-B50</f>
        <v>0.99</v>
      </c>
      <c r="D50" s="64" cm="1">
        <f t="array" aca="1" ref="D50" ca="1">IF(ISNUMBER(_xll.VoseSimPercentile(Total,$B50)),_xll.VoseSimPercentile(Total,$B50),NA())</f>
        <v>4959</v>
      </c>
    </row>
    <row r="51" spans="2:7" hidden="1" outlineLevel="1" x14ac:dyDescent="0.45">
      <c r="B51" s="63">
        <v>0.03</v>
      </c>
      <c r="C51" s="63">
        <f t="shared" si="0"/>
        <v>0.97</v>
      </c>
      <c r="D51" s="64" cm="1">
        <f t="array" aca="1" ref="D51" ca="1">IF(ISNUMBER(_xll.VoseSimPercentile(Total,$B51)),_xll.VoseSimPercentile(Total,$B51),NA())</f>
        <v>4999</v>
      </c>
    </row>
    <row r="52" spans="2:7" hidden="1" outlineLevel="1" x14ac:dyDescent="0.45">
      <c r="B52" s="63">
        <v>0.05</v>
      </c>
      <c r="C52" s="63">
        <f t="shared" si="0"/>
        <v>0.95</v>
      </c>
      <c r="D52" s="64" cm="1">
        <f t="array" aca="1" ref="D52" ca="1">IF(ISNUMBER(_xll.VoseSimPercentile(Total,$B52)),_xll.VoseSimPercentile(Total,$B52),NA())</f>
        <v>5020</v>
      </c>
    </row>
    <row r="53" spans="2:7" hidden="1" outlineLevel="1" x14ac:dyDescent="0.45">
      <c r="B53" s="63">
        <v>7.0000000000000007E-2</v>
      </c>
      <c r="C53" s="63">
        <f t="shared" si="0"/>
        <v>0.92999999999999994</v>
      </c>
      <c r="D53" s="64" cm="1">
        <f t="array" aca="1" ref="D53" ca="1">IF(ISNUMBER(_xll.VoseSimPercentile(Total,$B53)),_xll.VoseSimPercentile(Total,$B53),NA())</f>
        <v>5035</v>
      </c>
    </row>
    <row r="54" spans="2:7" hidden="1" outlineLevel="1" x14ac:dyDescent="0.45">
      <c r="B54" s="63">
        <v>0.09</v>
      </c>
      <c r="C54" s="63">
        <f t="shared" si="0"/>
        <v>0.91</v>
      </c>
      <c r="D54" s="64" cm="1">
        <f t="array" aca="1" ref="D54" ca="1">IF(ISNUMBER(_xll.VoseSimPercentile(Total,$B54)),_xll.VoseSimPercentile(Total,$B54),NA())</f>
        <v>5047</v>
      </c>
    </row>
    <row r="55" spans="2:7" hidden="1" outlineLevel="1" x14ac:dyDescent="0.45">
      <c r="B55" s="63">
        <v>0.11</v>
      </c>
      <c r="C55" s="63">
        <f t="shared" si="0"/>
        <v>0.89</v>
      </c>
      <c r="D55" s="64" cm="1">
        <f t="array" aca="1" ref="D55" ca="1">IF(ISNUMBER(_xll.VoseSimPercentile(Total,$B55)),_xll.VoseSimPercentile(Total,$B55),NA())</f>
        <v>5058</v>
      </c>
    </row>
    <row r="56" spans="2:7" hidden="1" outlineLevel="1" x14ac:dyDescent="0.45">
      <c r="B56" s="63">
        <v>0.13</v>
      </c>
      <c r="C56" s="63">
        <f t="shared" si="0"/>
        <v>0.87</v>
      </c>
      <c r="D56" s="64" cm="1">
        <f t="array" aca="1" ref="D56" ca="1">IF(ISNUMBER(_xll.VoseSimPercentile(Total,$B56)),_xll.VoseSimPercentile(Total,$B56),NA())</f>
        <v>5069</v>
      </c>
    </row>
    <row r="57" spans="2:7" hidden="1" outlineLevel="1" x14ac:dyDescent="0.45">
      <c r="B57" s="63">
        <v>0.15</v>
      </c>
      <c r="C57" s="63">
        <f t="shared" si="0"/>
        <v>0.85</v>
      </c>
      <c r="D57" s="64" cm="1">
        <f t="array" aca="1" ref="D57" ca="1">IF(ISNUMBER(_xll.VoseSimPercentile(Total,$B57)),_xll.VoseSimPercentile(Total,$B57),NA())</f>
        <v>5079</v>
      </c>
    </row>
    <row r="58" spans="2:7" hidden="1" outlineLevel="1" x14ac:dyDescent="0.45">
      <c r="B58" s="63">
        <v>0.17</v>
      </c>
      <c r="C58" s="63">
        <f t="shared" si="0"/>
        <v>0.83</v>
      </c>
      <c r="D58" s="64" cm="1">
        <f t="array" aca="1" ref="D58" ca="1">IF(ISNUMBER(_xll.VoseSimPercentile(Total,$B58)),_xll.VoseSimPercentile(Total,$B58),NA())</f>
        <v>5087</v>
      </c>
    </row>
    <row r="59" spans="2:7" hidden="1" outlineLevel="1" x14ac:dyDescent="0.45">
      <c r="B59" s="63">
        <v>0.19</v>
      </c>
      <c r="C59" s="63">
        <f t="shared" si="0"/>
        <v>0.81</v>
      </c>
      <c r="D59" s="64" cm="1">
        <f t="array" aca="1" ref="D59" ca="1">IF(ISNUMBER(_xll.VoseSimPercentile(Total,$B59)),_xll.VoseSimPercentile(Total,$B59),NA())</f>
        <v>5096</v>
      </c>
    </row>
    <row r="60" spans="2:7" hidden="1" outlineLevel="1" x14ac:dyDescent="0.45">
      <c r="B60" s="63">
        <v>0.21</v>
      </c>
      <c r="C60" s="63">
        <f t="shared" si="0"/>
        <v>0.79</v>
      </c>
      <c r="D60" s="64" cm="1">
        <f t="array" aca="1" ref="D60" ca="1">IF(ISNUMBER(_xll.VoseSimPercentile(Total,$B60)),_xll.VoseSimPercentile(Total,$B60),NA())</f>
        <v>5103</v>
      </c>
    </row>
    <row r="61" spans="2:7" hidden="1" outlineLevel="1" x14ac:dyDescent="0.45">
      <c r="B61" s="63">
        <v>0.23</v>
      </c>
      <c r="C61" s="63">
        <f t="shared" si="0"/>
        <v>0.77</v>
      </c>
      <c r="D61" s="64" cm="1">
        <f t="array" aca="1" ref="D61" ca="1">IF(ISNUMBER(_xll.VoseSimPercentile(Total,$B61)),_xll.VoseSimPercentile(Total,$B61),NA())</f>
        <v>5110</v>
      </c>
    </row>
    <row r="62" spans="2:7" hidden="1" outlineLevel="1" x14ac:dyDescent="0.45">
      <c r="B62" s="63">
        <v>0.25</v>
      </c>
      <c r="C62" s="63">
        <f t="shared" si="0"/>
        <v>0.75</v>
      </c>
      <c r="D62" s="64" cm="1">
        <f t="array" aca="1" ref="D62" ca="1">IF(ISNUMBER(_xll.VoseSimPercentile(Total,$B62)),_xll.VoseSimPercentile(Total,$B62),NA())</f>
        <v>5117</v>
      </c>
    </row>
    <row r="63" spans="2:7" hidden="1" outlineLevel="1" x14ac:dyDescent="0.45">
      <c r="B63" s="63">
        <v>0.27</v>
      </c>
      <c r="C63" s="63">
        <f t="shared" si="0"/>
        <v>0.73</v>
      </c>
      <c r="D63" s="64" cm="1">
        <f t="array" aca="1" ref="D63" ca="1">IF(ISNUMBER(_xll.VoseSimPercentile(Total,$B63)),_xll.VoseSimPercentile(Total,$B63),NA())</f>
        <v>5124</v>
      </c>
    </row>
    <row r="64" spans="2:7" hidden="1" outlineLevel="1" x14ac:dyDescent="0.45">
      <c r="B64" s="63">
        <v>0.28999999999999998</v>
      </c>
      <c r="C64" s="63">
        <f t="shared" si="0"/>
        <v>0.71</v>
      </c>
      <c r="D64" s="64" cm="1">
        <f t="array" aca="1" ref="D64" ca="1">IF(ISNUMBER(_xll.VoseSimPercentile(Total,$B64)),_xll.VoseSimPercentile(Total,$B64),NA())</f>
        <v>5132</v>
      </c>
    </row>
    <row r="65" spans="2:4" hidden="1" outlineLevel="1" x14ac:dyDescent="0.45">
      <c r="B65" s="63">
        <v>0.31</v>
      </c>
      <c r="C65" s="63">
        <f t="shared" si="0"/>
        <v>0.69</v>
      </c>
      <c r="D65" s="64" cm="1">
        <f t="array" aca="1" ref="D65" ca="1">IF(ISNUMBER(_xll.VoseSimPercentile(Total,$B65)),_xll.VoseSimPercentile(Total,$B65),NA())</f>
        <v>5138</v>
      </c>
    </row>
    <row r="66" spans="2:4" hidden="1" outlineLevel="1" x14ac:dyDescent="0.45">
      <c r="B66" s="63">
        <v>0.33</v>
      </c>
      <c r="C66" s="63">
        <f t="shared" si="0"/>
        <v>0.66999999999999993</v>
      </c>
      <c r="D66" s="64" cm="1">
        <f t="array" aca="1" ref="D66" ca="1">IF(ISNUMBER(_xll.VoseSimPercentile(Total,$B66)),_xll.VoseSimPercentile(Total,$B66),NA())</f>
        <v>5144</v>
      </c>
    </row>
    <row r="67" spans="2:4" hidden="1" outlineLevel="1" x14ac:dyDescent="0.45">
      <c r="B67" s="63">
        <v>0.35</v>
      </c>
      <c r="C67" s="63">
        <f t="shared" si="0"/>
        <v>0.65</v>
      </c>
      <c r="D67" s="64" cm="1">
        <f t="array" aca="1" ref="D67" ca="1">IF(ISNUMBER(_xll.VoseSimPercentile(Total,$B67)),_xll.VoseSimPercentile(Total,$B67),NA())</f>
        <v>5151</v>
      </c>
    </row>
    <row r="68" spans="2:4" hidden="1" outlineLevel="1" x14ac:dyDescent="0.45">
      <c r="B68" s="63">
        <v>0.37</v>
      </c>
      <c r="C68" s="63">
        <f t="shared" si="0"/>
        <v>0.63</v>
      </c>
      <c r="D68" s="64" cm="1">
        <f t="array" aca="1" ref="D68" ca="1">IF(ISNUMBER(_xll.VoseSimPercentile(Total,$B68)),_xll.VoseSimPercentile(Total,$B68),NA())</f>
        <v>5157</v>
      </c>
    </row>
    <row r="69" spans="2:4" hidden="1" outlineLevel="1" x14ac:dyDescent="0.45">
      <c r="B69" s="63">
        <v>0.39</v>
      </c>
      <c r="C69" s="63">
        <f t="shared" si="0"/>
        <v>0.61</v>
      </c>
      <c r="D69" s="64" cm="1">
        <f t="array" aca="1" ref="D69" ca="1">IF(ISNUMBER(_xll.VoseSimPercentile(Total,$B69)),_xll.VoseSimPercentile(Total,$B69),NA())</f>
        <v>5163</v>
      </c>
    </row>
    <row r="70" spans="2:4" hidden="1" outlineLevel="1" x14ac:dyDescent="0.45">
      <c r="B70" s="63">
        <v>0.41</v>
      </c>
      <c r="C70" s="63">
        <f t="shared" si="0"/>
        <v>0.59000000000000008</v>
      </c>
      <c r="D70" s="64" cm="1">
        <f t="array" aca="1" ref="D70" ca="1">IF(ISNUMBER(_xll.VoseSimPercentile(Total,$B70)),_xll.VoseSimPercentile(Total,$B70),NA())</f>
        <v>5170</v>
      </c>
    </row>
    <row r="71" spans="2:4" hidden="1" outlineLevel="1" x14ac:dyDescent="0.45">
      <c r="B71" s="63">
        <v>0.43</v>
      </c>
      <c r="C71" s="63">
        <f t="shared" si="0"/>
        <v>0.57000000000000006</v>
      </c>
      <c r="D71" s="64" cm="1">
        <f t="array" aca="1" ref="D71" ca="1">IF(ISNUMBER(_xll.VoseSimPercentile(Total,$B71)),_xll.VoseSimPercentile(Total,$B71),NA())</f>
        <v>5177</v>
      </c>
    </row>
    <row r="72" spans="2:4" hidden="1" outlineLevel="1" x14ac:dyDescent="0.45">
      <c r="B72" s="63">
        <v>0.45</v>
      </c>
      <c r="C72" s="63">
        <f t="shared" si="0"/>
        <v>0.55000000000000004</v>
      </c>
      <c r="D72" s="64" cm="1">
        <f t="array" aca="1" ref="D72" ca="1">IF(ISNUMBER(_xll.VoseSimPercentile(Total,$B72)),_xll.VoseSimPercentile(Total,$B72),NA())</f>
        <v>5183</v>
      </c>
    </row>
    <row r="73" spans="2:4" hidden="1" outlineLevel="1" x14ac:dyDescent="0.45">
      <c r="B73" s="63">
        <v>0.47</v>
      </c>
      <c r="C73" s="63">
        <f t="shared" si="0"/>
        <v>0.53</v>
      </c>
      <c r="D73" s="64" cm="1">
        <f t="array" aca="1" ref="D73" ca="1">IF(ISNUMBER(_xll.VoseSimPercentile(Total,$B73)),_xll.VoseSimPercentile(Total,$B73),NA())</f>
        <v>5190</v>
      </c>
    </row>
    <row r="74" spans="2:4" hidden="1" outlineLevel="1" x14ac:dyDescent="0.45">
      <c r="B74" s="63">
        <v>0.49</v>
      </c>
      <c r="C74" s="63">
        <f t="shared" si="0"/>
        <v>0.51</v>
      </c>
      <c r="D74" s="64" cm="1">
        <f t="array" aca="1" ref="D74" ca="1">IF(ISNUMBER(_xll.VoseSimPercentile(Total,$B74)),_xll.VoseSimPercentile(Total,$B74),NA())</f>
        <v>5198</v>
      </c>
    </row>
    <row r="75" spans="2:4" hidden="1" outlineLevel="1" x14ac:dyDescent="0.45">
      <c r="B75" s="63">
        <v>0.51</v>
      </c>
      <c r="C75" s="63">
        <f t="shared" si="0"/>
        <v>0.49</v>
      </c>
      <c r="D75" s="64" cm="1">
        <f t="array" aca="1" ref="D75" ca="1">IF(ISNUMBER(_xll.VoseSimPercentile(Total,$B75)),_xll.VoseSimPercentile(Total,$B75),NA())</f>
        <v>5207</v>
      </c>
    </row>
    <row r="76" spans="2:4" hidden="1" outlineLevel="1" x14ac:dyDescent="0.45">
      <c r="B76" s="63">
        <v>0.53</v>
      </c>
      <c r="C76" s="63">
        <f t="shared" si="0"/>
        <v>0.47</v>
      </c>
      <c r="D76" s="64" cm="1">
        <f t="array" aca="1" ref="D76" ca="1">IF(ISNUMBER(_xll.VoseSimPercentile(Total,$B76)),_xll.VoseSimPercentile(Total,$B76),NA())</f>
        <v>5215</v>
      </c>
    </row>
    <row r="77" spans="2:4" hidden="1" outlineLevel="1" x14ac:dyDescent="0.45">
      <c r="B77" s="63">
        <v>0.55000000000000004</v>
      </c>
      <c r="C77" s="63">
        <f t="shared" si="0"/>
        <v>0.44999999999999996</v>
      </c>
      <c r="D77" s="64" cm="1">
        <f t="array" aca="1" ref="D77" ca="1">IF(ISNUMBER(_xll.VoseSimPercentile(Total,$B77)),_xll.VoseSimPercentile(Total,$B77),NA())</f>
        <v>5224</v>
      </c>
    </row>
    <row r="78" spans="2:4" hidden="1" outlineLevel="1" x14ac:dyDescent="0.45">
      <c r="B78" s="63">
        <v>0.56999999999999995</v>
      </c>
      <c r="C78" s="63">
        <f t="shared" si="0"/>
        <v>0.43000000000000005</v>
      </c>
      <c r="D78" s="64" cm="1">
        <f t="array" aca="1" ref="D78" ca="1">IF(ISNUMBER(_xll.VoseSimPercentile(Total,$B78)),_xll.VoseSimPercentile(Total,$B78),NA())</f>
        <v>5232</v>
      </c>
    </row>
    <row r="79" spans="2:4" hidden="1" outlineLevel="1" x14ac:dyDescent="0.45">
      <c r="B79" s="63">
        <v>0.59</v>
      </c>
      <c r="C79" s="63">
        <f t="shared" si="0"/>
        <v>0.41000000000000003</v>
      </c>
      <c r="D79" s="64" cm="1">
        <f t="array" aca="1" ref="D79" ca="1">IF(ISNUMBER(_xll.VoseSimPercentile(Total,$B79)),_xll.VoseSimPercentile(Total,$B79),NA())</f>
        <v>5241</v>
      </c>
    </row>
    <row r="80" spans="2:4" hidden="1" outlineLevel="1" x14ac:dyDescent="0.45">
      <c r="B80" s="63">
        <v>0.61</v>
      </c>
      <c r="C80" s="63">
        <f t="shared" si="0"/>
        <v>0.39</v>
      </c>
      <c r="D80" s="64" cm="1">
        <f t="array" aca="1" ref="D80" ca="1">IF(ISNUMBER(_xll.VoseSimPercentile(Total,$B80)),_xll.VoseSimPercentile(Total,$B80),NA())</f>
        <v>5251</v>
      </c>
    </row>
    <row r="81" spans="2:4" hidden="1" outlineLevel="1" x14ac:dyDescent="0.45">
      <c r="B81" s="63">
        <v>0.63</v>
      </c>
      <c r="C81" s="63">
        <f t="shared" si="0"/>
        <v>0.37</v>
      </c>
      <c r="D81" s="64" cm="1">
        <f t="array" aca="1" ref="D81" ca="1">IF(ISNUMBER(_xll.VoseSimPercentile(Total,$B81)),_xll.VoseSimPercentile(Total,$B81),NA())</f>
        <v>5262</v>
      </c>
    </row>
    <row r="82" spans="2:4" hidden="1" outlineLevel="1" x14ac:dyDescent="0.45">
      <c r="B82" s="63">
        <v>0.65</v>
      </c>
      <c r="C82" s="63">
        <f t="shared" ref="C82:C113" si="1">1-B82</f>
        <v>0.35</v>
      </c>
      <c r="D82" s="64" cm="1">
        <f t="array" aca="1" ref="D82" ca="1">IF(ISNUMBER(_xll.VoseSimPercentile(Total,$B82)),_xll.VoseSimPercentile(Total,$B82),NA())</f>
        <v>5274</v>
      </c>
    </row>
    <row r="83" spans="2:4" hidden="1" outlineLevel="1" x14ac:dyDescent="0.45">
      <c r="B83" s="63">
        <v>0.67</v>
      </c>
      <c r="C83" s="63">
        <f t="shared" si="1"/>
        <v>0.32999999999999996</v>
      </c>
      <c r="D83" s="64" cm="1">
        <f t="array" aca="1" ref="D83" ca="1">IF(ISNUMBER(_xll.VoseSimPercentile(Total,$B83)),_xll.VoseSimPercentile(Total,$B83),NA())</f>
        <v>5289</v>
      </c>
    </row>
    <row r="84" spans="2:4" hidden="1" outlineLevel="1" x14ac:dyDescent="0.45">
      <c r="B84" s="63">
        <v>0.69</v>
      </c>
      <c r="C84" s="63">
        <f t="shared" si="1"/>
        <v>0.31000000000000005</v>
      </c>
      <c r="D84" s="64" cm="1">
        <f t="array" aca="1" ref="D84" ca="1">IF(ISNUMBER(_xll.VoseSimPercentile(Total,$B84)),_xll.VoseSimPercentile(Total,$B84),NA())</f>
        <v>5307</v>
      </c>
    </row>
    <row r="85" spans="2:4" hidden="1" outlineLevel="1" x14ac:dyDescent="0.45">
      <c r="B85" s="63">
        <v>0.71</v>
      </c>
      <c r="C85" s="63">
        <f t="shared" si="1"/>
        <v>0.29000000000000004</v>
      </c>
      <c r="D85" s="64" cm="1">
        <f t="array" aca="1" ref="D85" ca="1">IF(ISNUMBER(_xll.VoseSimPercentile(Total,$B85)),_xll.VoseSimPercentile(Total,$B85),NA())</f>
        <v>5329</v>
      </c>
    </row>
    <row r="86" spans="2:4" hidden="1" outlineLevel="1" x14ac:dyDescent="0.45">
      <c r="B86" s="63">
        <v>0.73</v>
      </c>
      <c r="C86" s="63">
        <f t="shared" si="1"/>
        <v>0.27</v>
      </c>
      <c r="D86" s="64" cm="1">
        <f t="array" aca="1" ref="D86" ca="1">IF(ISNUMBER(_xll.VoseSimPercentile(Total,$B86)),_xll.VoseSimPercentile(Total,$B86),NA())</f>
        <v>5350</v>
      </c>
    </row>
    <row r="87" spans="2:4" hidden="1" outlineLevel="1" x14ac:dyDescent="0.45">
      <c r="B87" s="63">
        <v>0.75</v>
      </c>
      <c r="C87" s="63">
        <f t="shared" si="1"/>
        <v>0.25</v>
      </c>
      <c r="D87" s="64" cm="1">
        <f t="array" aca="1" ref="D87" ca="1">IF(ISNUMBER(_xll.VoseSimPercentile(Total,$B87)),_xll.VoseSimPercentile(Total,$B87),NA())</f>
        <v>5370</v>
      </c>
    </row>
    <row r="88" spans="2:4" hidden="1" outlineLevel="1" x14ac:dyDescent="0.45">
      <c r="B88" s="63">
        <v>0.77</v>
      </c>
      <c r="C88" s="63">
        <f t="shared" si="1"/>
        <v>0.22999999999999998</v>
      </c>
      <c r="D88" s="64" cm="1">
        <f t="array" aca="1" ref="D88" ca="1">IF(ISNUMBER(_xll.VoseSimPercentile(Total,$B88)),_xll.VoseSimPercentile(Total,$B88),NA())</f>
        <v>5388</v>
      </c>
    </row>
    <row r="89" spans="2:4" hidden="1" outlineLevel="1" x14ac:dyDescent="0.45">
      <c r="B89" s="63">
        <v>0.79</v>
      </c>
      <c r="C89" s="63">
        <f t="shared" si="1"/>
        <v>0.20999999999999996</v>
      </c>
      <c r="D89" s="64" cm="1">
        <f t="array" aca="1" ref="D89" ca="1">IF(ISNUMBER(_xll.VoseSimPercentile(Total,$B89)),_xll.VoseSimPercentile(Total,$B89),NA())</f>
        <v>5402</v>
      </c>
    </row>
    <row r="90" spans="2:4" hidden="1" outlineLevel="1" x14ac:dyDescent="0.45">
      <c r="B90" s="63">
        <v>0.81</v>
      </c>
      <c r="C90" s="63">
        <f t="shared" si="1"/>
        <v>0.18999999999999995</v>
      </c>
      <c r="D90" s="64" cm="1">
        <f t="array" aca="1" ref="D90" ca="1">IF(ISNUMBER(_xll.VoseSimPercentile(Total,$B90)),_xll.VoseSimPercentile(Total,$B90),NA())</f>
        <v>5415</v>
      </c>
    </row>
    <row r="91" spans="2:4" hidden="1" outlineLevel="1" x14ac:dyDescent="0.45">
      <c r="B91" s="63">
        <v>0.83</v>
      </c>
      <c r="C91" s="63">
        <f t="shared" si="1"/>
        <v>0.17000000000000004</v>
      </c>
      <c r="D91" s="64" cm="1">
        <f t="array" aca="1" ref="D91" ca="1">IF(ISNUMBER(_xll.VoseSimPercentile(Total,$B91)),_xll.VoseSimPercentile(Total,$B91),NA())</f>
        <v>5427</v>
      </c>
    </row>
    <row r="92" spans="2:4" hidden="1" outlineLevel="1" x14ac:dyDescent="0.45">
      <c r="B92" s="63">
        <v>0.85</v>
      </c>
      <c r="C92" s="63">
        <f t="shared" si="1"/>
        <v>0.15000000000000002</v>
      </c>
      <c r="D92" s="64" cm="1">
        <f t="array" aca="1" ref="D92" ca="1">IF(ISNUMBER(_xll.VoseSimPercentile(Total,$B92)),_xll.VoseSimPercentile(Total,$B92),NA())</f>
        <v>5437</v>
      </c>
    </row>
    <row r="93" spans="2:4" hidden="1" outlineLevel="1" x14ac:dyDescent="0.45">
      <c r="B93" s="63">
        <v>0.87</v>
      </c>
      <c r="C93" s="63">
        <f t="shared" si="1"/>
        <v>0.13</v>
      </c>
      <c r="D93" s="64" cm="1">
        <f t="array" aca="1" ref="D93" ca="1">IF(ISNUMBER(_xll.VoseSimPercentile(Total,$B93)),_xll.VoseSimPercentile(Total,$B93),NA())</f>
        <v>5451</v>
      </c>
    </row>
    <row r="94" spans="2:4" hidden="1" outlineLevel="1" x14ac:dyDescent="0.45">
      <c r="B94" s="63">
        <v>0.89</v>
      </c>
      <c r="C94" s="63">
        <f t="shared" si="1"/>
        <v>0.10999999999999999</v>
      </c>
      <c r="D94" s="64" cm="1">
        <f t="array" aca="1" ref="D94" ca="1">IF(ISNUMBER(_xll.VoseSimPercentile(Total,$B94)),_xll.VoseSimPercentile(Total,$B94),NA())</f>
        <v>5463</v>
      </c>
    </row>
    <row r="95" spans="2:4" hidden="1" outlineLevel="1" x14ac:dyDescent="0.45">
      <c r="B95" s="63">
        <v>0.91</v>
      </c>
      <c r="C95" s="63">
        <f t="shared" si="1"/>
        <v>8.9999999999999969E-2</v>
      </c>
      <c r="D95" s="64" cm="1">
        <f t="array" aca="1" ref="D95" ca="1">IF(ISNUMBER(_xll.VoseSimPercentile(Total,$B95)),_xll.VoseSimPercentile(Total,$B95),NA())</f>
        <v>5476</v>
      </c>
    </row>
    <row r="96" spans="2:4" hidden="1" outlineLevel="1" x14ac:dyDescent="0.45">
      <c r="B96" s="63">
        <v>0.93</v>
      </c>
      <c r="C96" s="63">
        <f t="shared" si="1"/>
        <v>6.9999999999999951E-2</v>
      </c>
      <c r="D96" s="64" cm="1">
        <f t="array" aca="1" ref="D96" ca="1">IF(ISNUMBER(_xll.VoseSimPercentile(Total,$B96)),_xll.VoseSimPercentile(Total,$B96),NA())</f>
        <v>5490</v>
      </c>
    </row>
    <row r="97" spans="2:7" hidden="1" outlineLevel="1" x14ac:dyDescent="0.45">
      <c r="B97" s="63">
        <v>0.95</v>
      </c>
      <c r="C97" s="63">
        <f t="shared" si="1"/>
        <v>5.0000000000000044E-2</v>
      </c>
      <c r="D97" s="64" cm="1">
        <f t="array" aca="1" ref="D97" ca="1">IF(ISNUMBER(_xll.VoseSimPercentile(Total,$B97)),_xll.VoseSimPercentile(Total,$B97),NA())</f>
        <v>5507</v>
      </c>
    </row>
    <row r="98" spans="2:7" hidden="1" outlineLevel="1" x14ac:dyDescent="0.45">
      <c r="B98" s="63">
        <v>0.97</v>
      </c>
      <c r="C98" s="63">
        <f t="shared" si="1"/>
        <v>3.0000000000000027E-2</v>
      </c>
      <c r="D98" s="64" cm="1">
        <f t="array" aca="1" ref="D98" ca="1">IF(ISNUMBER(_xll.VoseSimPercentile(Total,$B98)),_xll.VoseSimPercentile(Total,$B98),NA())</f>
        <v>5532</v>
      </c>
    </row>
    <row r="99" spans="2:7" hidden="1" outlineLevel="1" x14ac:dyDescent="0.45">
      <c r="B99" s="63">
        <v>0.99</v>
      </c>
      <c r="C99" s="63">
        <f t="shared" si="1"/>
        <v>1.0000000000000009E-2</v>
      </c>
      <c r="D99" s="64" cm="1">
        <f t="array" aca="1" ref="D99" ca="1">IF(ISNUMBER(_xll.VoseSimPercentile(Total,$B99)),_xll.VoseSimPercentile(Total,$B99),NA())</f>
        <v>5573</v>
      </c>
    </row>
    <row r="100" spans="2:7" hidden="1" outlineLevel="1" x14ac:dyDescent="0.45"/>
    <row r="101" spans="2:7" ht="28.05" hidden="1" customHeight="1" outlineLevel="1" x14ac:dyDescent="0.45">
      <c r="B101" s="23" t="s">
        <v>191</v>
      </c>
      <c r="C101" s="24" t="s">
        <v>192</v>
      </c>
      <c r="D101" s="24" t="s">
        <v>178</v>
      </c>
      <c r="E101" s="24" t="s">
        <v>193</v>
      </c>
      <c r="F101" s="24" t="s">
        <v>109</v>
      </c>
      <c r="G101" s="5"/>
    </row>
    <row r="102" spans="2:7" hidden="1" outlineLevel="1" x14ac:dyDescent="0.45">
      <c r="B102" s="65" t="s">
        <v>194</v>
      </c>
      <c r="C102" s="64" cm="1">
        <f t="array" aca="1" ref="C102" ca="1">IF(ISNUMBER(_xll.VoseSimPercentile(Crash_1,0.1)),_xll.VoseSimPercentile(Crash_1,0.1),NA())</f>
        <v>134</v>
      </c>
      <c r="D102" s="64" cm="1">
        <f t="array" aca="1" ref="D102" ca="1">IF(ISNUMBER(_xll.VoseSimPercentile(Crash_1,0.5)),_xll.VoseSimPercentile(Crash_1,0.5),NA())</f>
        <v>150</v>
      </c>
      <c r="E102" s="64" cm="1">
        <f t="array" aca="1" ref="E102" ca="1">IF(ISNUMBER(_xll.VoseSimPercentile(Crash_1,0.9)),_xll.VoseSimPercentile(Crash_1,0.9),NA())</f>
        <v>165</v>
      </c>
      <c r="F102" s="64" cm="1">
        <f t="array" aca="1" ref="F102" ca="1">IF(ISNUMBER(_xll.VoseSimMean(Crash_1)),_xll.VoseSimMean(Crash_1),NA())</f>
        <v>149.71483574178708</v>
      </c>
    </row>
    <row r="103" spans="2:7" hidden="1" outlineLevel="1" x14ac:dyDescent="0.45">
      <c r="B103" s="65" t="s">
        <v>195</v>
      </c>
      <c r="C103" s="64" cm="1">
        <f t="array" aca="1" ref="C103" ca="1">IF(ISNUMBER(_xll.VoseSimPercentile(Crash_2,0.1)),_xll.VoseSimPercentile(Crash_2,0.1),NA())</f>
        <v>146</v>
      </c>
      <c r="D103" s="64" cm="1">
        <f t="array" aca="1" ref="D103" ca="1">IF(ISNUMBER(_xll.VoseSimPercentile(Crash_2,0.5)),_xll.VoseSimPercentile(Crash_2,0.5),NA())</f>
        <v>162</v>
      </c>
      <c r="E103" s="64" cm="1">
        <f t="array" aca="1" ref="E103" ca="1">IF(ISNUMBER(_xll.VoseSimPercentile(Crash_2,0.9)),_xll.VoseSimPercentile(Crash_2,0.9),NA())</f>
        <v>179</v>
      </c>
      <c r="F103" s="64" cm="1">
        <f t="array" aca="1" ref="F103" ca="1">IF(ISNUMBER(_xll.VoseSimMean(Crash_2)),_xll.VoseSimMean(Crash_2),NA())</f>
        <v>162.30326516325817</v>
      </c>
    </row>
    <row r="104" spans="2:7" hidden="1" outlineLevel="1" x14ac:dyDescent="0.45">
      <c r="B104" s="65" t="s">
        <v>196</v>
      </c>
      <c r="C104" s="64" cm="1">
        <f t="array" aca="1" ref="C104" ca="1">IF(ISNUMBER(_xll.VoseSimPercentile(Crash_3,0.1)),_xll.VoseSimPercentile(Crash_3,0.1),NA())</f>
        <v>151</v>
      </c>
      <c r="D104" s="64" cm="1">
        <f t="array" aca="1" ref="D104" ca="1">IF(ISNUMBER(_xll.VoseSimPercentile(Crash_3,0.5)),_xll.VoseSimPercentile(Crash_3,0.5),NA())</f>
        <v>167</v>
      </c>
      <c r="E104" s="64" cm="1">
        <f t="array" aca="1" ref="E104" ca="1">IF(ISNUMBER(_xll.VoseSimPercentile(Crash_3,0.9)),_xll.VoseSimPercentile(Crash_3,0.9),NA())</f>
        <v>184</v>
      </c>
      <c r="F104" s="64" cm="1">
        <f t="array" aca="1" ref="F104" ca="1">IF(ISNUMBER(_xll.VoseSimMean(Crash_3)),_xll.VoseSimMean(Crash_3),NA())</f>
        <v>167.23241162058102</v>
      </c>
    </row>
    <row r="105" spans="2:7" hidden="1" outlineLevel="1" x14ac:dyDescent="0.45">
      <c r="B105" s="65" t="s">
        <v>197</v>
      </c>
      <c r="C105" s="64" cm="1">
        <f t="array" aca="1" ref="C105" ca="1">IF(ISNUMBER(_xll.VoseSimPercentile(Crash_4,0.1)),_xll.VoseSimPercentile(Crash_4,0.1),NA())</f>
        <v>149</v>
      </c>
      <c r="D105" s="64" cm="1">
        <f t="array" aca="1" ref="D105" ca="1">IF(ISNUMBER(_xll.VoseSimPercentile(Crash_4,0.5)),_xll.VoseSimPercentile(Crash_4,0.5),NA())</f>
        <v>166</v>
      </c>
      <c r="E105" s="64" cm="1">
        <f t="array" aca="1" ref="E105" ca="1">IF(ISNUMBER(_xll.VoseSimPercentile(Crash_4,0.9)),_xll.VoseSimPercentile(Crash_4,0.9),NA())</f>
        <v>182</v>
      </c>
      <c r="F105" s="64" cm="1">
        <f t="array" aca="1" ref="F105" ca="1">IF(ISNUMBER(_xll.VoseSimMean(Crash_4)),_xll.VoseSimMean(Crash_4),NA())</f>
        <v>165.60213010650531</v>
      </c>
    </row>
    <row r="106" spans="2:7" hidden="1" outlineLevel="1" x14ac:dyDescent="0.45">
      <c r="B106" s="65" t="s">
        <v>198</v>
      </c>
      <c r="C106" s="64" cm="1">
        <f t="array" aca="1" ref="C106" ca="1">IF(ISNUMBER(_xll.VoseSimPercentile(Crash_5,0.1)),_xll.VoseSimPercentile(Crash_5,0.1),NA())</f>
        <v>140</v>
      </c>
      <c r="D106" s="64" cm="1">
        <f t="array" aca="1" ref="D106" ca="1">IF(ISNUMBER(_xll.VoseSimPercentile(Crash_5,0.5)),_xll.VoseSimPercentile(Crash_5,0.5),NA())</f>
        <v>156</v>
      </c>
      <c r="E106" s="64" cm="1">
        <f t="array" aca="1" ref="E106" ca="1">IF(ISNUMBER(_xll.VoseSimPercentile(Crash_5,0.9)),_xll.VoseSimPercentile(Crash_5,0.9),NA())</f>
        <v>172</v>
      </c>
      <c r="F106" s="64" cm="1">
        <f t="array" aca="1" ref="F106" ca="1">IF(ISNUMBER(_xll.VoseSimMean(Crash_5)),_xll.VoseSimMean(Crash_5),NA())</f>
        <v>155.78288914445722</v>
      </c>
    </row>
    <row r="107" spans="2:7" hidden="1" outlineLevel="1" x14ac:dyDescent="0.45">
      <c r="B107" s="65" t="s">
        <v>199</v>
      </c>
      <c r="C107" s="64" cm="1">
        <f t="array" aca="1" ref="C107" ca="1">IF(ISNUMBER(_xll.VoseSimPercentile(Crash_6,0.1)),_xll.VoseSimPercentile(Crash_6,0.1),NA())</f>
        <v>130</v>
      </c>
      <c r="D107" s="64" cm="1">
        <f t="array" aca="1" ref="D107" ca="1">IF(ISNUMBER(_xll.VoseSimPercentile(Crash_6,0.5)),_xll.VoseSimPercentile(Crash_6,0.5),NA())</f>
        <v>146</v>
      </c>
      <c r="E107" s="64" cm="1">
        <f t="array" aca="1" ref="E107" ca="1">IF(ISNUMBER(_xll.VoseSimPercentile(Crash_6,0.9)),_xll.VoseSimPercentile(Crash_6,0.9),NA())</f>
        <v>161</v>
      </c>
      <c r="F107" s="64" cm="1">
        <f t="array" aca="1" ref="F107" ca="1">IF(ISNUMBER(_xll.VoseSimMean(Crash_6)),_xll.VoseSimMean(Crash_6),NA())</f>
        <v>145.80299014950748</v>
      </c>
    </row>
    <row r="108" spans="2:7" hidden="1" outlineLevel="1" x14ac:dyDescent="0.45">
      <c r="B108" s="65" t="s">
        <v>200</v>
      </c>
      <c r="C108" s="64" cm="1">
        <f t="array" aca="1" ref="C108" ca="1">IF(ISNUMBER(_xll.VoseSimPercentile(Crash_7,0.1)),_xll.VoseSimPercentile(Crash_7,0.1),NA())</f>
        <v>119</v>
      </c>
      <c r="D108" s="64" cm="1">
        <f t="array" aca="1" ref="D108" ca="1">IF(ISNUMBER(_xll.VoseSimPercentile(Crash_7,0.5)),_xll.VoseSimPercentile(Crash_7,0.5),NA())</f>
        <v>133</v>
      </c>
      <c r="E108" s="64" cm="1">
        <f t="array" aca="1" ref="E108" ca="1">IF(ISNUMBER(_xll.VoseSimPercentile(Crash_7,0.9)),_xll.VoseSimPercentile(Crash_7,0.9),NA())</f>
        <v>149</v>
      </c>
      <c r="F108" s="64" cm="1">
        <f t="array" aca="1" ref="F108" ca="1">IF(ISNUMBER(_xll.VoseSimMean(Crash_7)),_xll.VoseSimMean(Crash_7),NA())</f>
        <v>133.41237061853093</v>
      </c>
    </row>
    <row r="109" spans="2:7" hidden="1" outlineLevel="1" x14ac:dyDescent="0.45">
      <c r="B109" s="65" t="s">
        <v>201</v>
      </c>
      <c r="C109" s="64" cm="1">
        <f t="array" aca="1" ref="C109" ca="1">IF(ISNUMBER(_xll.VoseSimPercentile(Crash_8,0.1)),_xll.VoseSimPercentile(Crash_8,0.1),NA())</f>
        <v>110</v>
      </c>
      <c r="D109" s="64" cm="1">
        <f t="array" aca="1" ref="D109" ca="1">IF(ISNUMBER(_xll.VoseSimPercentile(Crash_8,0.5)),_xll.VoseSimPercentile(Crash_8,0.5),NA())</f>
        <v>124</v>
      </c>
      <c r="E109" s="64" cm="1">
        <f t="array" aca="1" ref="E109" ca="1">IF(ISNUMBER(_xll.VoseSimPercentile(Crash_8,0.9)),_xll.VoseSimPercentile(Crash_8,0.9),NA())</f>
        <v>139</v>
      </c>
      <c r="F109" s="64" cm="1">
        <f t="array" aca="1" ref="F109" ca="1">IF(ISNUMBER(_xll.VoseSimMean(Crash_8)),_xll.VoseSimMean(Crash_8),NA())</f>
        <v>124.67253362668133</v>
      </c>
    </row>
    <row r="110" spans="2:7" hidden="1" outlineLevel="1" x14ac:dyDescent="0.45">
      <c r="B110" s="65" t="s">
        <v>202</v>
      </c>
      <c r="C110" s="64" cm="1">
        <f t="array" aca="1" ref="C110" ca="1">IF(ISNUMBER(_xll.VoseSimPercentile(Crash_9,0.1)),_xll.VoseSimPercentile(Crash_9,0.1),NA())</f>
        <v>104</v>
      </c>
      <c r="D110" s="64" cm="1">
        <f t="array" aca="1" ref="D110" ca="1">IF(ISNUMBER(_xll.VoseSimPercentile(Crash_9,0.5)),_xll.VoseSimPercentile(Crash_9,0.5),NA())</f>
        <v>118</v>
      </c>
      <c r="E110" s="64" cm="1">
        <f t="array" aca="1" ref="E110" ca="1">IF(ISNUMBER(_xll.VoseSimPercentile(Crash_9,0.9)),_xll.VoseSimPercentile(Crash_9,0.9),NA())</f>
        <v>132</v>
      </c>
      <c r="F110" s="64" cm="1">
        <f t="array" aca="1" ref="F110" ca="1">IF(ISNUMBER(_xll.VoseSimMean(Crash_9)),_xll.VoseSimMean(Crash_9),NA())</f>
        <v>118.41507075353768</v>
      </c>
    </row>
    <row r="111" spans="2:7" hidden="1" outlineLevel="1" x14ac:dyDescent="0.45">
      <c r="B111" s="65" t="s">
        <v>203</v>
      </c>
      <c r="C111" s="64" cm="1">
        <f t="array" aca="1" ref="C111" ca="1">IF(ISNUMBER(_xll.VoseSimPercentile(Crash_10,0.1)),_xll.VoseSimPercentile(Crash_10,0.1),NA())</f>
        <v>96</v>
      </c>
      <c r="D111" s="64" cm="1">
        <f t="array" aca="1" ref="D111" ca="1">IF(ISNUMBER(_xll.VoseSimPercentile(Crash_10,0.5)),_xll.VoseSimPercentile(Crash_10,0.5),NA())</f>
        <v>109</v>
      </c>
      <c r="E111" s="64" cm="1">
        <f t="array" aca="1" ref="E111" ca="1">IF(ISNUMBER(_xll.VoseSimPercentile(Crash_10,0.9)),_xll.VoseSimPercentile(Crash_10,0.9),NA())</f>
        <v>123</v>
      </c>
      <c r="F111" s="64" cm="1">
        <f t="array" aca="1" ref="F111" ca="1">IF(ISNUMBER(_xll.VoseSimMean(Crash_10)),_xll.VoseSimMean(Crash_10),NA())</f>
        <v>109.48922446122306</v>
      </c>
    </row>
    <row r="112" spans="2:7" hidden="1" outlineLevel="1" x14ac:dyDescent="0.45">
      <c r="B112" s="65" t="s">
        <v>204</v>
      </c>
      <c r="C112" s="64" cm="1">
        <f t="array" aca="1" ref="C112" ca="1">IF(ISNUMBER(_xll.VoseSimPercentile(Crash_11,0.1)),_xll.VoseSimPercentile(Crash_11,0.1),NA())</f>
        <v>91</v>
      </c>
      <c r="D112" s="64" cm="1">
        <f t="array" aca="1" ref="D112" ca="1">IF(ISNUMBER(_xll.VoseSimPercentile(Crash_11,0.5)),_xll.VoseSimPercentile(Crash_11,0.5),NA())</f>
        <v>104</v>
      </c>
      <c r="E112" s="64" cm="1">
        <f t="array" aca="1" ref="E112" ca="1">IF(ISNUMBER(_xll.VoseSimPercentile(Crash_11,0.9)),_xll.VoseSimPercentile(Crash_11,0.9),NA())</f>
        <v>117</v>
      </c>
      <c r="F112" s="64" cm="1">
        <f t="array" aca="1" ref="F112" ca="1">IF(ISNUMBER(_xll.VoseSimMean(Crash_11)),_xll.VoseSimMean(Crash_11),NA())</f>
        <v>104.1855592779639</v>
      </c>
    </row>
    <row r="113" spans="2:6" hidden="1" outlineLevel="1" x14ac:dyDescent="0.45">
      <c r="B113" s="65" t="s">
        <v>205</v>
      </c>
      <c r="C113" s="64" cm="1">
        <f t="array" aca="1" ref="C113" ca="1">IF(ISNUMBER(_xll.VoseSimPercentile(Crash_12,0.1)),_xll.VoseSimPercentile(Crash_12,0.1),NA())</f>
        <v>86</v>
      </c>
      <c r="D113" s="64" cm="1">
        <f t="array" aca="1" ref="D113" ca="1">IF(ISNUMBER(_xll.VoseSimPercentile(Crash_12,0.5)),_xll.VoseSimPercentile(Crash_12,0.5),NA())</f>
        <v>98</v>
      </c>
      <c r="E113" s="64" cm="1">
        <f t="array" aca="1" ref="E113" ca="1">IF(ISNUMBER(_xll.VoseSimPercentile(Crash_12,0.9)),_xll.VoseSimPercentile(Crash_12,0.9),NA())</f>
        <v>111</v>
      </c>
      <c r="F113" s="64" cm="1">
        <f t="array" aca="1" ref="F113" ca="1">IF(ISNUMBER(_xll.VoseSimMean(Crash_12)),_xll.VoseSimMean(Crash_12),NA())</f>
        <v>98.05200260013001</v>
      </c>
    </row>
    <row r="114" spans="2:6" hidden="1" outlineLevel="1" x14ac:dyDescent="0.45">
      <c r="B114" s="65" t="s">
        <v>206</v>
      </c>
      <c r="C114" s="64" cm="1">
        <f t="array" aca="1" ref="C114" ca="1">IF(ISNUMBER(_xll.VoseSimPercentile(Crash_13,0.1)),_xll.VoseSimPercentile(Crash_13,0.1),NA())</f>
        <v>81</v>
      </c>
      <c r="D114" s="64" cm="1">
        <f t="array" aca="1" ref="D114" ca="1">IF(ISNUMBER(_xll.VoseSimPercentile(Crash_13,0.5)),_xll.VoseSimPercentile(Crash_13,0.5),NA())</f>
        <v>94</v>
      </c>
      <c r="E114" s="64" cm="1">
        <f t="array" aca="1" ref="E114" ca="1">IF(ISNUMBER(_xll.VoseSimPercentile(Crash_13,0.9)),_xll.VoseSimPercentile(Crash_13,0.9),NA())</f>
        <v>106</v>
      </c>
      <c r="F114" s="64" cm="1">
        <f t="array" aca="1" ref="F114" ca="1">IF(ISNUMBER(_xll.VoseSimMean(Crash_13)),_xll.VoseSimMean(Crash_13),NA())</f>
        <v>93.637231861593079</v>
      </c>
    </row>
    <row r="115" spans="2:6" hidden="1" outlineLevel="1" x14ac:dyDescent="0.45">
      <c r="B115" s="65" t="s">
        <v>207</v>
      </c>
      <c r="C115" s="64" cm="1">
        <f t="array" aca="1" ref="C115" ca="1">IF(ISNUMBER(_xll.VoseSimPercentile(Crash_14,0.1)),_xll.VoseSimPercentile(Crash_14,0.1),NA())</f>
        <v>75</v>
      </c>
      <c r="D115" s="64" cm="1">
        <f t="array" aca="1" ref="D115" ca="1">IF(ISNUMBER(_xll.VoseSimPercentile(Crash_14,0.5)),_xll.VoseSimPercentile(Crash_14,0.5),NA())</f>
        <v>87</v>
      </c>
      <c r="E115" s="64" cm="1">
        <f t="array" aca="1" ref="E115" ca="1">IF(ISNUMBER(_xll.VoseSimPercentile(Crash_14,0.9)),_xll.VoseSimPercentile(Crash_14,0.9),NA())</f>
        <v>99</v>
      </c>
      <c r="F115" s="64" cm="1">
        <f t="array" aca="1" ref="F115" ca="1">IF(ISNUMBER(_xll.VoseSimMean(Crash_14)),_xll.VoseSimMean(Crash_14),NA())</f>
        <v>87.229711485574285</v>
      </c>
    </row>
    <row r="116" spans="2:6" hidden="1" outlineLevel="1" x14ac:dyDescent="0.45">
      <c r="B116" s="65" t="s">
        <v>208</v>
      </c>
      <c r="C116" s="64" cm="1">
        <f t="array" aca="1" ref="C116" ca="1">IF(ISNUMBER(_xll.VoseSimPercentile(Crash_15,0.1)),_xll.VoseSimPercentile(Crash_15,0.1),NA())</f>
        <v>71</v>
      </c>
      <c r="D116" s="64" cm="1">
        <f t="array" aca="1" ref="D116" ca="1">IF(ISNUMBER(_xll.VoseSimPercentile(Crash_15,0.5)),_xll.VoseSimPercentile(Crash_15,0.5),NA())</f>
        <v>82</v>
      </c>
      <c r="E116" s="64" cm="1">
        <f t="array" aca="1" ref="E116" ca="1">IF(ISNUMBER(_xll.VoseSimPercentile(Crash_15,0.9)),_xll.VoseSimPercentile(Crash_15,0.9),NA())</f>
        <v>94</v>
      </c>
      <c r="F116" s="64" cm="1">
        <f t="array" aca="1" ref="F116" ca="1">IF(ISNUMBER(_xll.VoseSimMean(Crash_15)),_xll.VoseSimMean(Crash_15),NA())</f>
        <v>82.530026501325068</v>
      </c>
    </row>
    <row r="117" spans="2:6" hidden="1" outlineLevel="1" x14ac:dyDescent="0.45">
      <c r="B117" s="65" t="s">
        <v>209</v>
      </c>
      <c r="C117" s="64" cm="1">
        <f t="array" aca="1" ref="C117" ca="1">IF(ISNUMBER(_xll.VoseSimPercentile(Crash_16,0.1)),_xll.VoseSimPercentile(Crash_16,0.1),NA())</f>
        <v>69</v>
      </c>
      <c r="D117" s="64" cm="1">
        <f t="array" aca="1" ref="D117" ca="1">IF(ISNUMBER(_xll.VoseSimPercentile(Crash_16,0.5)),_xll.VoseSimPercentile(Crash_16,0.5),NA())</f>
        <v>80</v>
      </c>
      <c r="E117" s="64" cm="1">
        <f t="array" aca="1" ref="E117" ca="1">IF(ISNUMBER(_xll.VoseSimPercentile(Crash_16,0.9)),_xll.VoseSimPercentile(Crash_16,0.9),NA())</f>
        <v>92</v>
      </c>
      <c r="F117" s="64" cm="1">
        <f t="array" aca="1" ref="F117" ca="1">IF(ISNUMBER(_xll.VoseSimMean(Crash_16)),_xll.VoseSimMean(Crash_16),NA())</f>
        <v>80.104505225261263</v>
      </c>
    </row>
    <row r="118" spans="2:6" hidden="1" outlineLevel="1" x14ac:dyDescent="0.45">
      <c r="B118" s="65" t="s">
        <v>210</v>
      </c>
      <c r="C118" s="64" cm="1">
        <f t="array" aca="1" ref="C118" ca="1">IF(ISNUMBER(_xll.VoseSimPercentile(Crash_17,0.1)),_xll.VoseSimPercentile(Crash_17,0.1),NA())</f>
        <v>67</v>
      </c>
      <c r="D118" s="64" cm="1">
        <f t="array" aca="1" ref="D118" ca="1">IF(ISNUMBER(_xll.VoseSimPercentile(Crash_17,0.5)),_xll.VoseSimPercentile(Crash_17,0.5),NA())</f>
        <v>78</v>
      </c>
      <c r="E118" s="64" cm="1">
        <f t="array" aca="1" ref="E118" ca="1">IF(ISNUMBER(_xll.VoseSimPercentile(Crash_17,0.9)),_xll.VoseSimPercentile(Crash_17,0.9),NA())</f>
        <v>90</v>
      </c>
      <c r="F118" s="64" cm="1">
        <f t="array" aca="1" ref="F118" ca="1">IF(ISNUMBER(_xll.VoseSimMean(Crash_17)),_xll.VoseSimMean(Crash_17),NA())</f>
        <v>77.926996349817486</v>
      </c>
    </row>
    <row r="119" spans="2:6" hidden="1" outlineLevel="1" x14ac:dyDescent="0.45">
      <c r="B119" s="65" t="s">
        <v>211</v>
      </c>
      <c r="C119" s="64" cm="1">
        <f t="array" aca="1" ref="C119" ca="1">IF(ISNUMBER(_xll.VoseSimPercentile(Crash_18,0.1)),_xll.VoseSimPercentile(Crash_18,0.1),NA())</f>
        <v>66</v>
      </c>
      <c r="D119" s="64" cm="1">
        <f t="array" aca="1" ref="D119" ca="1">IF(ISNUMBER(_xll.VoseSimPercentile(Crash_18,0.5)),_xll.VoseSimPercentile(Crash_18,0.5),NA())</f>
        <v>76</v>
      </c>
      <c r="E119" s="64" cm="1">
        <f t="array" aca="1" ref="E119" ca="1">IF(ISNUMBER(_xll.VoseSimPercentile(Crash_18,0.9)),_xll.VoseSimPercentile(Crash_18,0.9),NA())</f>
        <v>88</v>
      </c>
      <c r="F119" s="64" cm="1">
        <f t="array" aca="1" ref="F119" ca="1">IF(ISNUMBER(_xll.VoseSimMean(Crash_18)),_xll.VoseSimMean(Crash_18),NA())</f>
        <v>76.511075553777687</v>
      </c>
    </row>
    <row r="120" spans="2:6" hidden="1" outlineLevel="1" x14ac:dyDescent="0.45">
      <c r="B120" s="65" t="s">
        <v>212</v>
      </c>
      <c r="C120" s="64" cm="1">
        <f t="array" aca="1" ref="C120" ca="1">IF(ISNUMBER(_xll.VoseSimPercentile(Crash_19,0.1)),_xll.VoseSimPercentile(Crash_19,0.1),NA())</f>
        <v>65</v>
      </c>
      <c r="D120" s="64" cm="1">
        <f t="array" aca="1" ref="D120" ca="1">IF(ISNUMBER(_xll.VoseSimPercentile(Crash_19,0.5)),_xll.VoseSimPercentile(Crash_19,0.5),NA())</f>
        <v>76</v>
      </c>
      <c r="E120" s="64" cm="1">
        <f t="array" aca="1" ref="E120" ca="1">IF(ISNUMBER(_xll.VoseSimPercentile(Crash_19,0.9)),_xll.VoseSimPercentile(Crash_19,0.9),NA())</f>
        <v>87</v>
      </c>
      <c r="F120" s="64" cm="1">
        <f t="array" aca="1" ref="F120" ca="1">IF(ISNUMBER(_xll.VoseSimMean(Crash_19)),_xll.VoseSimMean(Crash_19),NA())</f>
        <v>75.671033551677581</v>
      </c>
    </row>
    <row r="121" spans="2:6" hidden="1" outlineLevel="1" x14ac:dyDescent="0.45">
      <c r="B121" s="65" t="s">
        <v>213</v>
      </c>
      <c r="C121" s="64" cm="1">
        <f t="array" aca="1" ref="C121" ca="1">IF(ISNUMBER(_xll.VoseSimPercentile(Crash_20,0.1)),_xll.VoseSimPercentile(Crash_20,0.1),NA())</f>
        <v>65</v>
      </c>
      <c r="D121" s="64" cm="1">
        <f t="array" aca="1" ref="D121" ca="1">IF(ISNUMBER(_xll.VoseSimPercentile(Crash_20,0.5)),_xll.VoseSimPercentile(Crash_20,0.5),NA())</f>
        <v>75</v>
      </c>
      <c r="E121" s="64" cm="1">
        <f t="array" aca="1" ref="E121" ca="1">IF(ISNUMBER(_xll.VoseSimPercentile(Crash_20,0.9)),_xll.VoseSimPercentile(Crash_20,0.9),NA())</f>
        <v>87</v>
      </c>
      <c r="F121" s="64" cm="1">
        <f t="array" aca="1" ref="F121" ca="1">IF(ISNUMBER(_xll.VoseSimMean(Crash_20)),_xll.VoseSimMean(Crash_20),NA())</f>
        <v>75.476973848692438</v>
      </c>
    </row>
    <row r="122" spans="2:6" hidden="1" outlineLevel="1" x14ac:dyDescent="0.45">
      <c r="B122" s="65" t="s">
        <v>214</v>
      </c>
      <c r="C122" s="64" cm="1">
        <f t="array" aca="1" ref="C122" ca="1">IF(ISNUMBER(_xll.VoseSimPercentile(Crash_21,0.1)),_xll.VoseSimPercentile(Crash_21,0.1),NA())</f>
        <v>65</v>
      </c>
      <c r="D122" s="64" cm="1">
        <f t="array" aca="1" ref="D122" ca="1">IF(ISNUMBER(_xll.VoseSimPercentile(Crash_21,0.5)),_xll.VoseSimPercentile(Crash_21,0.5),NA())</f>
        <v>76</v>
      </c>
      <c r="E122" s="64" cm="1">
        <f t="array" aca="1" ref="E122" ca="1">IF(ISNUMBER(_xll.VoseSimPercentile(Crash_21,0.9)),_xll.VoseSimPercentile(Crash_21,0.9),NA())</f>
        <v>88</v>
      </c>
      <c r="F122" s="64" cm="1">
        <f t="array" aca="1" ref="F122" ca="1">IF(ISNUMBER(_xll.VoseSimMean(Crash_21)),_xll.VoseSimMean(Crash_21),NA())</f>
        <v>76.298164908245411</v>
      </c>
    </row>
    <row r="123" spans="2:6" hidden="1" outlineLevel="1" x14ac:dyDescent="0.45">
      <c r="B123" s="65" t="s">
        <v>215</v>
      </c>
      <c r="C123" s="64" cm="1">
        <f t="array" aca="1" ref="C123" ca="1">IF(ISNUMBER(_xll.VoseSimPercentile(Crash_22,0.1)),_xll.VoseSimPercentile(Crash_22,0.1),NA())</f>
        <v>66</v>
      </c>
      <c r="D123" s="64" cm="1">
        <f t="array" aca="1" ref="D123" ca="1">IF(ISNUMBER(_xll.VoseSimPercentile(Crash_22,0.5)),_xll.VoseSimPercentile(Crash_22,0.5),NA())</f>
        <v>77</v>
      </c>
      <c r="E123" s="64" cm="1">
        <f t="array" aca="1" ref="E123" ca="1">IF(ISNUMBER(_xll.VoseSimPercentile(Crash_22,0.9)),_xll.VoseSimPercentile(Crash_22,0.9),NA())</f>
        <v>88</v>
      </c>
      <c r="F123" s="64" cm="1">
        <f t="array" aca="1" ref="F123" ca="1">IF(ISNUMBER(_xll.VoseSimMean(Crash_22)),_xll.VoseSimMean(Crash_22),NA())</f>
        <v>76.981149057452868</v>
      </c>
    </row>
    <row r="124" spans="2:6" hidden="1" outlineLevel="1" x14ac:dyDescent="0.45">
      <c r="B124" s="65" t="s">
        <v>216</v>
      </c>
      <c r="C124" s="64" cm="1">
        <f t="array" aca="1" ref="C124" ca="1">IF(ISNUMBER(_xll.VoseSimPercentile(Crash_23,0.1)),_xll.VoseSimPercentile(Crash_23,0.1),NA())</f>
        <v>64</v>
      </c>
      <c r="D124" s="64" cm="1">
        <f t="array" aca="1" ref="D124" ca="1">IF(ISNUMBER(_xll.VoseSimPercentile(Crash_23,0.5)),_xll.VoseSimPercentile(Crash_23,0.5),NA())</f>
        <v>76</v>
      </c>
      <c r="E124" s="64" cm="1">
        <f t="array" aca="1" ref="E124" ca="1">IF(ISNUMBER(_xll.VoseSimPercentile(Crash_23,0.9)),_xll.VoseSimPercentile(Crash_23,0.9),NA())</f>
        <v>88</v>
      </c>
      <c r="F124" s="64" cm="1">
        <f t="array" aca="1" ref="F124" ca="1">IF(ISNUMBER(_xll.VoseSimMean(Crash_23)),_xll.VoseSimMean(Crash_23),NA())</f>
        <v>76.183809190459527</v>
      </c>
    </row>
    <row r="125" spans="2:6" hidden="1" outlineLevel="1" x14ac:dyDescent="0.45">
      <c r="B125" s="65" t="s">
        <v>217</v>
      </c>
      <c r="C125" s="64" cm="1">
        <f t="array" aca="1" ref="C125" ca="1">IF(ISNUMBER(_xll.VoseSimPercentile(Crash_24,0.1)),_xll.VoseSimPercentile(Crash_24,0.1),NA())</f>
        <v>65</v>
      </c>
      <c r="D125" s="64" cm="1">
        <f t="array" aca="1" ref="D125" ca="1">IF(ISNUMBER(_xll.VoseSimPercentile(Crash_24,0.5)),_xll.VoseSimPercentile(Crash_24,0.5),NA())</f>
        <v>77</v>
      </c>
      <c r="E125" s="64" cm="1">
        <f t="array" aca="1" ref="E125" ca="1">IF(ISNUMBER(_xll.VoseSimPercentile(Crash_24,0.9)),_xll.VoseSimPercentile(Crash_24,0.9),NA())</f>
        <v>89</v>
      </c>
      <c r="F125" s="64" cm="1">
        <f t="array" aca="1" ref="F125" ca="1">IF(ISNUMBER(_xll.VoseSimMean(Crash_24)),_xll.VoseSimMean(Crash_24),NA())</f>
        <v>76.842492124606224</v>
      </c>
    </row>
    <row r="126" spans="2:6" hidden="1" outlineLevel="1" x14ac:dyDescent="0.45">
      <c r="B126" s="65" t="s">
        <v>218</v>
      </c>
      <c r="C126" s="64" cm="1">
        <f t="array" aca="1" ref="C126" ca="1">IF(ISNUMBER(_xll.VoseSimPercentile(Crash_25,0.1)),_xll.VoseSimPercentile(Crash_25,0.1),NA())</f>
        <v>65</v>
      </c>
      <c r="D126" s="64" cm="1">
        <f t="array" aca="1" ref="D126" ca="1">IF(ISNUMBER(_xll.VoseSimPercentile(Crash_25,0.5)),_xll.VoseSimPercentile(Crash_25,0.5),NA())</f>
        <v>77</v>
      </c>
      <c r="E126" s="64" cm="1">
        <f t="array" aca="1" ref="E126" ca="1">IF(ISNUMBER(_xll.VoseSimPercentile(Crash_25,0.9)),_xll.VoseSimPercentile(Crash_25,0.9),NA())</f>
        <v>91</v>
      </c>
      <c r="F126" s="64" cm="1">
        <f t="array" aca="1" ref="F126" ca="1">IF(ISNUMBER(_xll.VoseSimMean(Crash_25)),_xll.VoseSimMean(Crash_25),NA())</f>
        <v>77.631431571578574</v>
      </c>
    </row>
    <row r="127" spans="2:6" hidden="1" outlineLevel="1" x14ac:dyDescent="0.45">
      <c r="B127" s="65" t="s">
        <v>219</v>
      </c>
      <c r="C127" s="64" cm="1">
        <f t="array" aca="1" ref="C127" ca="1">IF(ISNUMBER(_xll.VoseSimPercentile(Crash_26,0.1)),_xll.VoseSimPercentile(Crash_26,0.1),NA())</f>
        <v>65</v>
      </c>
      <c r="D127" s="64" cm="1">
        <f t="array" aca="1" ref="D127" ca="1">IF(ISNUMBER(_xll.VoseSimPercentile(Crash_26,0.5)),_xll.VoseSimPercentile(Crash_26,0.5),NA())</f>
        <v>77</v>
      </c>
      <c r="E127" s="64" cm="1">
        <f t="array" aca="1" ref="E127" ca="1">IF(ISNUMBER(_xll.VoseSimPercentile(Crash_26,0.9)),_xll.VoseSimPercentile(Crash_26,0.9),NA())</f>
        <v>90</v>
      </c>
      <c r="F127" s="64" cm="1">
        <f t="array" aca="1" ref="F127" ca="1">IF(ISNUMBER(_xll.VoseSimMean(Crash_26)),_xll.VoseSimMean(Crash_26),NA())</f>
        <v>77.108505425271261</v>
      </c>
    </row>
    <row r="128" spans="2:6" hidden="1" outlineLevel="1" x14ac:dyDescent="0.45">
      <c r="B128" s="65" t="s">
        <v>220</v>
      </c>
      <c r="C128" s="64" cm="1">
        <f t="array" aca="1" ref="C128" ca="1">IF(ISNUMBER(_xll.VoseSimPercentile(Crash_27,0.1)),_xll.VoseSimPercentile(Crash_27,0.1),NA())</f>
        <v>66</v>
      </c>
      <c r="D128" s="64" cm="1">
        <f t="array" aca="1" ref="D128" ca="1">IF(ISNUMBER(_xll.VoseSimPercentile(Crash_27,0.5)),_xll.VoseSimPercentile(Crash_27,0.5),NA())</f>
        <v>78</v>
      </c>
      <c r="E128" s="64" cm="1">
        <f t="array" aca="1" ref="E128" ca="1">IF(ISNUMBER(_xll.VoseSimPercentile(Crash_27,0.9)),_xll.VoseSimPercentile(Crash_27,0.9),NA())</f>
        <v>90</v>
      </c>
      <c r="F128" s="64" cm="1">
        <f t="array" aca="1" ref="F128" ca="1">IF(ISNUMBER(_xll.VoseSimMean(Crash_27)),_xll.VoseSimMean(Crash_27),NA())</f>
        <v>77.85724286214311</v>
      </c>
    </row>
    <row r="129" spans="2:6" hidden="1" outlineLevel="1" x14ac:dyDescent="0.45">
      <c r="B129" s="65" t="s">
        <v>221</v>
      </c>
      <c r="C129" s="64" cm="1">
        <f t="array" aca="1" ref="C129" ca="1">IF(ISNUMBER(_xll.VoseSimPercentile(Crash_28,0.1)),_xll.VoseSimPercentile(Crash_28,0.1),NA())</f>
        <v>67</v>
      </c>
      <c r="D129" s="64" cm="1">
        <f t="array" aca="1" ref="D129" ca="1">IF(ISNUMBER(_xll.VoseSimPercentile(Crash_28,0.5)),_xll.VoseSimPercentile(Crash_28,0.5),NA())</f>
        <v>78</v>
      </c>
      <c r="E129" s="64" cm="1">
        <f t="array" aca="1" ref="E129" ca="1">IF(ISNUMBER(_xll.VoseSimPercentile(Crash_28,0.9)),_xll.VoseSimPercentile(Crash_28,0.9),NA())</f>
        <v>91</v>
      </c>
      <c r="F129" s="64" cm="1">
        <f t="array" aca="1" ref="F129" ca="1">IF(ISNUMBER(_xll.VoseSimMean(Crash_28)),_xll.VoseSimMean(Crash_28),NA())</f>
        <v>78.654482724136201</v>
      </c>
    </row>
    <row r="130" spans="2:6" hidden="1" outlineLevel="1" x14ac:dyDescent="0.45">
      <c r="B130" s="65" t="s">
        <v>222</v>
      </c>
      <c r="C130" s="64" cm="1">
        <f t="array" aca="1" ref="C130" ca="1">IF(ISNUMBER(_xll.VoseSimPercentile(Crash_29,0.1)),_xll.VoseSimPercentile(Crash_29,0.1),NA())</f>
        <v>66</v>
      </c>
      <c r="D130" s="64" cm="1">
        <f t="array" aca="1" ref="D130" ca="1">IF(ISNUMBER(_xll.VoseSimPercentile(Crash_29,0.5)),_xll.VoseSimPercentile(Crash_29,0.5),NA())</f>
        <v>78</v>
      </c>
      <c r="E130" s="64" cm="1">
        <f t="array" aca="1" ref="E130" ca="1">IF(ISNUMBER(_xll.VoseSimPercentile(Crash_29,0.9)),_xll.VoseSimPercentile(Crash_29,0.9),NA())</f>
        <v>91</v>
      </c>
      <c r="F130" s="64" cm="1">
        <f t="array" aca="1" ref="F130" ca="1">IF(ISNUMBER(_xll.VoseSimMean(Crash_29)),_xll.VoseSimMean(Crash_29),NA())</f>
        <v>78.778138906945344</v>
      </c>
    </row>
    <row r="131" spans="2:6" hidden="1" outlineLevel="1" x14ac:dyDescent="0.45">
      <c r="B131" s="65" t="s">
        <v>223</v>
      </c>
      <c r="C131" s="64" cm="1">
        <f t="array" aca="1" ref="C131" ca="1">IF(ISNUMBER(_xll.VoseSimPercentile(Crash_30,0.1)),_xll.VoseSimPercentile(Crash_30,0.1),NA())</f>
        <v>67</v>
      </c>
      <c r="D131" s="64" cm="1">
        <f t="array" aca="1" ref="D131" ca="1">IF(ISNUMBER(_xll.VoseSimPercentile(Crash_30,0.5)),_xll.VoseSimPercentile(Crash_30,0.5),NA())</f>
        <v>79</v>
      </c>
      <c r="E131" s="64" cm="1">
        <f t="array" aca="1" ref="E131" ca="1">IF(ISNUMBER(_xll.VoseSimPercentile(Crash_30,0.9)),_xll.VoseSimPercentile(Crash_30,0.9),NA())</f>
        <v>92</v>
      </c>
      <c r="F131" s="64" cm="1">
        <f t="array" aca="1" ref="F131" ca="1">IF(ISNUMBER(_xll.VoseSimMean(Crash_30)),_xll.VoseSimMean(Crash_30),NA())</f>
        <v>79.260263013150663</v>
      </c>
    </row>
    <row r="132" spans="2:6" hidden="1" outlineLevel="1" x14ac:dyDescent="0.45">
      <c r="B132" s="65" t="s">
        <v>224</v>
      </c>
      <c r="C132" s="64" cm="1">
        <f t="array" aca="1" ref="C132" ca="1">IF(ISNUMBER(_xll.VoseSimPercentile(Crash_31,0.1)),_xll.VoseSimPercentile(Crash_31,0.1),NA())</f>
        <v>68</v>
      </c>
      <c r="D132" s="64" cm="1">
        <f t="array" aca="1" ref="D132" ca="1">IF(ISNUMBER(_xll.VoseSimPercentile(Crash_31,0.5)),_xll.VoseSimPercentile(Crash_31,0.5),NA())</f>
        <v>80</v>
      </c>
      <c r="E132" s="64" cm="1">
        <f t="array" aca="1" ref="E132" ca="1">IF(ISNUMBER(_xll.VoseSimPercentile(Crash_31,0.9)),_xll.VoseSimPercentile(Crash_31,0.9),NA())</f>
        <v>93</v>
      </c>
      <c r="F132" s="64" cm="1">
        <f t="array" aca="1" ref="F132" ca="1">IF(ISNUMBER(_xll.VoseSimMean(Crash_31)),_xll.VoseSimMean(Crash_31),NA())</f>
        <v>80.530426521326063</v>
      </c>
    </row>
    <row r="133" spans="2:6" hidden="1" outlineLevel="1" x14ac:dyDescent="0.45">
      <c r="B133" s="65" t="s">
        <v>225</v>
      </c>
      <c r="C133" s="64" cm="1">
        <f t="array" aca="1" ref="C133" ca="1">IF(ISNUMBER(_xll.VoseSimPercentile(Crash_32,0.1)),_xll.VoseSimPercentile(Crash_32,0.1),NA())</f>
        <v>68</v>
      </c>
      <c r="D133" s="64" cm="1">
        <f t="array" aca="1" ref="D133" ca="1">IF(ISNUMBER(_xll.VoseSimPercentile(Crash_32,0.5)),_xll.VoseSimPercentile(Crash_32,0.5),NA())</f>
        <v>80</v>
      </c>
      <c r="E133" s="64" cm="1">
        <f t="array" aca="1" ref="E133" ca="1">IF(ISNUMBER(_xll.VoseSimPercentile(Crash_32,0.9)),_xll.VoseSimPercentile(Crash_32,0.9),NA())</f>
        <v>94</v>
      </c>
      <c r="F133" s="64" cm="1">
        <f t="array" aca="1" ref="F133" ca="1">IF(ISNUMBER(_xll.VoseSimMean(Crash_32)),_xll.VoseSimMean(Crash_32),NA())</f>
        <v>80.647632381619076</v>
      </c>
    </row>
    <row r="134" spans="2:6" hidden="1" outlineLevel="1" x14ac:dyDescent="0.45">
      <c r="B134" s="65" t="s">
        <v>226</v>
      </c>
      <c r="C134" s="64" cm="1">
        <f t="array" aca="1" ref="C134" ca="1">IF(ISNUMBER(_xll.VoseSimPercentile(Crash_33,0.1)),_xll.VoseSimPercentile(Crash_33,0.1),NA())</f>
        <v>69</v>
      </c>
      <c r="D134" s="64" cm="1">
        <f t="array" aca="1" ref="D134" ca="1">IF(ISNUMBER(_xll.VoseSimPercentile(Crash_33,0.5)),_xll.VoseSimPercentile(Crash_33,0.5),NA())</f>
        <v>81</v>
      </c>
      <c r="E134" s="64" cm="1">
        <f t="array" aca="1" ref="E134" ca="1">IF(ISNUMBER(_xll.VoseSimPercentile(Crash_33,0.9)),_xll.VoseSimPercentile(Crash_33,0.9),NA())</f>
        <v>94</v>
      </c>
      <c r="F134" s="64" cm="1">
        <f t="array" aca="1" ref="F134" ca="1">IF(ISNUMBER(_xll.VoseSimMean(Crash_33)),_xll.VoseSimMean(Crash_33),NA())</f>
        <v>81.16165808290414</v>
      </c>
    </row>
    <row r="135" spans="2:6" hidden="1" outlineLevel="1" x14ac:dyDescent="0.45">
      <c r="B135" s="65" t="s">
        <v>227</v>
      </c>
      <c r="C135" s="64" cm="1">
        <f t="array" aca="1" ref="C135" ca="1">IF(ISNUMBER(_xll.VoseSimPercentile(Crash_34,0.1)),_xll.VoseSimPercentile(Crash_34,0.1),NA())</f>
        <v>69</v>
      </c>
      <c r="D135" s="64" cm="1">
        <f t="array" aca="1" ref="D135" ca="1">IF(ISNUMBER(_xll.VoseSimPercentile(Crash_34,0.5)),_xll.VoseSimPercentile(Crash_34,0.5),NA())</f>
        <v>81</v>
      </c>
      <c r="E135" s="64" cm="1">
        <f t="array" aca="1" ref="E135" ca="1">IF(ISNUMBER(_xll.VoseSimPercentile(Crash_34,0.9)),_xll.VoseSimPercentile(Crash_34,0.9),NA())</f>
        <v>95</v>
      </c>
      <c r="F135" s="64" cm="1">
        <f t="array" aca="1" ref="F135" ca="1">IF(ISNUMBER(_xll.VoseSimMean(Crash_34)),_xll.VoseSimMean(Crash_34),NA())</f>
        <v>81.680134006700328</v>
      </c>
    </row>
    <row r="136" spans="2:6" hidden="1" outlineLevel="1" x14ac:dyDescent="0.45">
      <c r="B136" s="65" t="s">
        <v>228</v>
      </c>
      <c r="C136" s="64" cm="1">
        <f t="array" aca="1" ref="C136" ca="1">IF(ISNUMBER(_xll.VoseSimPercentile(Crash_35,0.1)),_xll.VoseSimPercentile(Crash_35,0.1),NA())</f>
        <v>70</v>
      </c>
      <c r="D136" s="64" cm="1">
        <f t="array" aca="1" ref="D136" ca="1">IF(ISNUMBER(_xll.VoseSimPercentile(Crash_35,0.5)),_xll.VoseSimPercentile(Crash_35,0.5),NA())</f>
        <v>82</v>
      </c>
      <c r="E136" s="64" cm="1">
        <f t="array" aca="1" ref="E136" ca="1">IF(ISNUMBER(_xll.VoseSimPercentile(Crash_35,0.9)),_xll.VoseSimPercentile(Crash_35,0.9),NA())</f>
        <v>96</v>
      </c>
      <c r="F136" s="64" cm="1">
        <f t="array" aca="1" ref="F136" ca="1">IF(ISNUMBER(_xll.VoseSimMean(Crash_35)),_xll.VoseSimMean(Crash_35),NA())</f>
        <v>82.752837641882095</v>
      </c>
    </row>
    <row r="137" spans="2:6" hidden="1" outlineLevel="1" x14ac:dyDescent="0.45">
      <c r="B137" s="65" t="s">
        <v>229</v>
      </c>
      <c r="C137" s="64" cm="1">
        <f t="array" aca="1" ref="C137" ca="1">IF(ISNUMBER(_xll.VoseSimPercentile(Crash_36,0.1)),_xll.VoseSimPercentile(Crash_36,0.1),NA())</f>
        <v>70</v>
      </c>
      <c r="D137" s="64" cm="1">
        <f t="array" aca="1" ref="D137" ca="1">IF(ISNUMBER(_xll.VoseSimPercentile(Crash_36,0.5)),_xll.VoseSimPercentile(Crash_36,0.5),NA())</f>
        <v>83</v>
      </c>
      <c r="E137" s="64" cm="1">
        <f t="array" aca="1" ref="E137" ca="1">IF(ISNUMBER(_xll.VoseSimPercentile(Crash_36,0.9)),_xll.VoseSimPercentile(Crash_36,0.9),NA())</f>
        <v>96</v>
      </c>
      <c r="F137" s="64" cm="1">
        <f t="array" aca="1" ref="F137" ca="1">IF(ISNUMBER(_xll.VoseSimMean(Crash_36)),_xll.VoseSimMean(Crash_36),NA())</f>
        <v>83.363368168408414</v>
      </c>
    </row>
    <row r="138" spans="2:6" hidden="1" outlineLevel="1" x14ac:dyDescent="0.45">
      <c r="B138" s="65" t="s">
        <v>230</v>
      </c>
      <c r="C138" s="64" cm="1">
        <f t="array" aca="1" ref="C138" ca="1">IF(ISNUMBER(_xll.VoseSimPercentile(Crash_37,0.1)),_xll.VoseSimPercentile(Crash_37,0.1),NA())</f>
        <v>71</v>
      </c>
      <c r="D138" s="64" cm="1">
        <f t="array" aca="1" ref="D138" ca="1">IF(ISNUMBER(_xll.VoseSimPercentile(Crash_37,0.5)),_xll.VoseSimPercentile(Crash_37,0.5),NA())</f>
        <v>84</v>
      </c>
      <c r="E138" s="64" cm="1">
        <f t="array" aca="1" ref="E138" ca="1">IF(ISNUMBER(_xll.VoseSimPercentile(Crash_37,0.9)),_xll.VoseSimPercentile(Crash_37,0.9),NA())</f>
        <v>97</v>
      </c>
      <c r="F138" s="64" cm="1">
        <f t="array" aca="1" ref="F138" ca="1">IF(ISNUMBER(_xll.VoseSimMean(Crash_37)),_xll.VoseSimMean(Crash_37),NA())</f>
        <v>84.097654882744138</v>
      </c>
    </row>
    <row r="139" spans="2:6" hidden="1" outlineLevel="1" x14ac:dyDescent="0.45">
      <c r="B139" s="65" t="s">
        <v>231</v>
      </c>
      <c r="C139" s="64" cm="1">
        <f t="array" aca="1" ref="C139" ca="1">IF(ISNUMBER(_xll.VoseSimPercentile(Crash_38,0.1)),_xll.VoseSimPercentile(Crash_38,0.1),NA())</f>
        <v>71</v>
      </c>
      <c r="D139" s="64" cm="1">
        <f t="array" aca="1" ref="D139" ca="1">IF(ISNUMBER(_xll.VoseSimPercentile(Crash_38,0.5)),_xll.VoseSimPercentile(Crash_38,0.5),NA())</f>
        <v>84</v>
      </c>
      <c r="E139" s="64" cm="1">
        <f t="array" aca="1" ref="E139" ca="1">IF(ISNUMBER(_xll.VoseSimPercentile(Crash_38,0.9)),_xll.VoseSimPercentile(Crash_38,0.9),NA())</f>
        <v>98</v>
      </c>
      <c r="F139" s="64" cm="1">
        <f t="array" aca="1" ref="F139" ca="1">IF(ISNUMBER(_xll.VoseSimMean(Crash_38)),_xll.VoseSimMean(Crash_38),NA())</f>
        <v>84.296314815740786</v>
      </c>
    </row>
    <row r="140" spans="2:6" hidden="1" outlineLevel="1" x14ac:dyDescent="0.45">
      <c r="B140" s="65" t="s">
        <v>232</v>
      </c>
      <c r="C140" s="64" cm="1">
        <f t="array" aca="1" ref="C140" ca="1">IF(ISNUMBER(_xll.VoseSimPercentile(Crash_39,0.1)),_xll.VoseSimPercentile(Crash_39,0.1),NA())</f>
        <v>73</v>
      </c>
      <c r="D140" s="64" cm="1">
        <f t="array" aca="1" ref="D140" ca="1">IF(ISNUMBER(_xll.VoseSimPercentile(Crash_39,0.5)),_xll.VoseSimPercentile(Crash_39,0.5),NA())</f>
        <v>85</v>
      </c>
      <c r="E140" s="64" cm="1">
        <f t="array" aca="1" ref="E140" ca="1">IF(ISNUMBER(_xll.VoseSimPercentile(Crash_39,0.9)),_xll.VoseSimPercentile(Crash_39,0.9),NA())</f>
        <v>99</v>
      </c>
      <c r="F140" s="64" cm="1">
        <f t="array" aca="1" ref="F140" ca="1">IF(ISNUMBER(_xll.VoseSimMean(Crash_39)),_xll.VoseSimMean(Crash_39),NA())</f>
        <v>85.660683034151702</v>
      </c>
    </row>
    <row r="141" spans="2:6" hidden="1" outlineLevel="1" x14ac:dyDescent="0.45">
      <c r="B141" s="65" t="s">
        <v>233</v>
      </c>
      <c r="C141" s="64" cm="1">
        <f t="array" aca="1" ref="C141" ca="1">IF(ISNUMBER(_xll.VoseSimPercentile(Crash_40,0.1)),_xll.VoseSimPercentile(Crash_40,0.1),NA())</f>
        <v>73</v>
      </c>
      <c r="D141" s="64" cm="1">
        <f t="array" aca="1" ref="D141" ca="1">IF(ISNUMBER(_xll.VoseSimPercentile(Crash_40,0.5)),_xll.VoseSimPercentile(Crash_40,0.5),NA())</f>
        <v>86</v>
      </c>
      <c r="E141" s="64" cm="1">
        <f t="array" aca="1" ref="E141" ca="1">IF(ISNUMBER(_xll.VoseSimPercentile(Crash_40,0.9)),_xll.VoseSimPercentile(Crash_40,0.9),NA())</f>
        <v>100</v>
      </c>
      <c r="F141" s="64" cm="1">
        <f t="array" aca="1" ref="F141" ca="1">IF(ISNUMBER(_xll.VoseSimMean(Crash_40)),_xll.VoseSimMean(Crash_40),NA())</f>
        <v>86.125906295314763</v>
      </c>
    </row>
    <row r="142" spans="2:6" hidden="1" outlineLevel="1" x14ac:dyDescent="0.45">
      <c r="B142" s="65" t="s">
        <v>234</v>
      </c>
      <c r="C142" s="64" cm="1">
        <f t="array" aca="1" ref="C142" ca="1">IF(ISNUMBER(_xll.VoseSimPercentile(Crash_41,0.1)),_xll.VoseSimPercentile(Crash_41,0.1),NA())</f>
        <v>74</v>
      </c>
      <c r="D142" s="64" cm="1">
        <f t="array" aca="1" ref="D142" ca="1">IF(ISNUMBER(_xll.VoseSimPercentile(Crash_41,0.5)),_xll.VoseSimPercentile(Crash_41,0.5),NA())</f>
        <v>87</v>
      </c>
      <c r="E142" s="64" cm="1">
        <f t="array" aca="1" ref="E142" ca="1">IF(ISNUMBER(_xll.VoseSimPercentile(Crash_41,0.9)),_xll.VoseSimPercentile(Crash_41,0.9),NA())</f>
        <v>101</v>
      </c>
      <c r="F142" s="64" cm="1">
        <f t="array" aca="1" ref="F142" ca="1">IF(ISNUMBER(_xll.VoseSimMean(Crash_41)),_xll.VoseSimMean(Crash_41),NA())</f>
        <v>87.179208960448022</v>
      </c>
    </row>
    <row r="143" spans="2:6" hidden="1" outlineLevel="1" x14ac:dyDescent="0.45">
      <c r="B143" s="65" t="s">
        <v>235</v>
      </c>
      <c r="C143" s="64" cm="1">
        <f t="array" aca="1" ref="C143" ca="1">IF(ISNUMBER(_xll.VoseSimPercentile(Crash_42,0.1)),_xll.VoseSimPercentile(Crash_42,0.1),NA())</f>
        <v>75</v>
      </c>
      <c r="D143" s="64" cm="1">
        <f t="array" aca="1" ref="D143" ca="1">IF(ISNUMBER(_xll.VoseSimPercentile(Crash_42,0.5)),_xll.VoseSimPercentile(Crash_42,0.5),NA())</f>
        <v>88</v>
      </c>
      <c r="E143" s="64" cm="1">
        <f t="array" aca="1" ref="E143" ca="1">IF(ISNUMBER(_xll.VoseSimPercentile(Crash_42,0.9)),_xll.VoseSimPercentile(Crash_42,0.9),NA())</f>
        <v>101</v>
      </c>
      <c r="F143" s="64" cm="1">
        <f t="array" aca="1" ref="F143" ca="1">IF(ISNUMBER(_xll.VoseSimMean(Crash_42)),_xll.VoseSimMean(Crash_42),NA())</f>
        <v>87.914395719785986</v>
      </c>
    </row>
    <row r="144" spans="2:6" hidden="1" outlineLevel="1" x14ac:dyDescent="0.45">
      <c r="B144" s="65" t="s">
        <v>236</v>
      </c>
      <c r="C144" s="64" cm="1">
        <f t="array" aca="1" ref="C144" ca="1">IF(ISNUMBER(_xll.VoseSimPercentile(Crash_43,0.1)),_xll.VoseSimPercentile(Crash_43,0.1),NA())</f>
        <v>76</v>
      </c>
      <c r="D144" s="64" cm="1">
        <f t="array" aca="1" ref="D144" ca="1">IF(ISNUMBER(_xll.VoseSimPercentile(Crash_43,0.5)),_xll.VoseSimPercentile(Crash_43,0.5),NA())</f>
        <v>90</v>
      </c>
      <c r="E144" s="64" cm="1">
        <f t="array" aca="1" ref="E144" ca="1">IF(ISNUMBER(_xll.VoseSimPercentile(Crash_43,0.9)),_xll.VoseSimPercentile(Crash_43,0.9),NA())</f>
        <v>103</v>
      </c>
      <c r="F144" s="64" cm="1">
        <f t="array" aca="1" ref="F144" ca="1">IF(ISNUMBER(_xll.VoseSimMean(Crash_43)),_xll.VoseSimMean(Crash_43),NA())</f>
        <v>89.791839591979596</v>
      </c>
    </row>
    <row r="145" spans="2:7" hidden="1" outlineLevel="1" x14ac:dyDescent="0.45">
      <c r="B145" s="65" t="s">
        <v>237</v>
      </c>
      <c r="C145" s="64" cm="1">
        <f t="array" aca="1" ref="C145" ca="1">IF(ISNUMBER(_xll.VoseSimPercentile(Crash_44,0.1)),_xll.VoseSimPercentile(Crash_44,0.1),NA())</f>
        <v>80</v>
      </c>
      <c r="D145" s="64" cm="1">
        <f t="array" aca="1" ref="D145" ca="1">IF(ISNUMBER(_xll.VoseSimPercentile(Crash_44,0.5)),_xll.VoseSimPercentile(Crash_44,0.5),NA())</f>
        <v>93</v>
      </c>
      <c r="E145" s="64" cm="1">
        <f t="array" aca="1" ref="E145" ca="1">IF(ISNUMBER(_xll.VoseSimPercentile(Crash_44,0.9)),_xll.VoseSimPercentile(Crash_44,0.9),NA())</f>
        <v>107</v>
      </c>
      <c r="F145" s="64" cm="1">
        <f t="array" aca="1" ref="F145" ca="1">IF(ISNUMBER(_xll.VoseSimMean(Crash_44)),_xll.VoseSimMean(Crash_44),NA())</f>
        <v>93.239261963098159</v>
      </c>
    </row>
    <row r="146" spans="2:7" hidden="1" outlineLevel="1" x14ac:dyDescent="0.45">
      <c r="B146" s="65" t="s">
        <v>238</v>
      </c>
      <c r="C146" s="64" cm="1">
        <f t="array" aca="1" ref="C146" ca="1">IF(ISNUMBER(_xll.VoseSimPercentile(Crash_45,0.1)),_xll.VoseSimPercentile(Crash_45,0.1),NA())</f>
        <v>83</v>
      </c>
      <c r="D146" s="64" cm="1">
        <f t="array" aca="1" ref="D146" ca="1">IF(ISNUMBER(_xll.VoseSimPercentile(Crash_45,0.5)),_xll.VoseSimPercentile(Crash_45,0.5),NA())</f>
        <v>97</v>
      </c>
      <c r="E146" s="64" cm="1">
        <f t="array" aca="1" ref="E146" ca="1">IF(ISNUMBER(_xll.VoseSimPercentile(Crash_45,0.9)),_xll.VoseSimPercentile(Crash_45,0.9),NA())</f>
        <v>111</v>
      </c>
      <c r="F146" s="64" cm="1">
        <f t="array" aca="1" ref="F146" ca="1">IF(ISNUMBER(_xll.VoseSimMean(Crash_45)),_xll.VoseSimMean(Crash_45),NA())</f>
        <v>97.141257062853143</v>
      </c>
    </row>
    <row r="147" spans="2:7" hidden="1" outlineLevel="1" x14ac:dyDescent="0.45">
      <c r="B147" s="65" t="s">
        <v>239</v>
      </c>
      <c r="C147" s="64" cm="1">
        <f t="array" aca="1" ref="C147" ca="1">IF(ISNUMBER(_xll.VoseSimPercentile(Crash_46,0.1)),_xll.VoseSimPercentile(Crash_46,0.1),NA())</f>
        <v>89</v>
      </c>
      <c r="D147" s="64" cm="1">
        <f t="array" aca="1" ref="D147" ca="1">IF(ISNUMBER(_xll.VoseSimPercentile(Crash_46,0.5)),_xll.VoseSimPercentile(Crash_46,0.5),NA())</f>
        <v>102</v>
      </c>
      <c r="E147" s="64" cm="1">
        <f t="array" aca="1" ref="E147" ca="1">IF(ISNUMBER(_xll.VoseSimPercentile(Crash_46,0.9)),_xll.VoseSimPercentile(Crash_46,0.9),NA())</f>
        <v>118</v>
      </c>
      <c r="F147" s="64" cm="1">
        <f t="array" aca="1" ref="F147" ca="1">IF(ISNUMBER(_xll.VoseSimMean(Crash_46)),_xll.VoseSimMean(Crash_46),NA())</f>
        <v>102.75108755437772</v>
      </c>
    </row>
    <row r="148" spans="2:7" hidden="1" outlineLevel="1" x14ac:dyDescent="0.45">
      <c r="B148" s="65" t="s">
        <v>240</v>
      </c>
      <c r="C148" s="64" cm="1">
        <f t="array" aca="1" ref="C148" ca="1">IF(ISNUMBER(_xll.VoseSimPercentile(Crash_47,0.1)),_xll.VoseSimPercentile(Crash_47,0.1),NA())</f>
        <v>94</v>
      </c>
      <c r="D148" s="64" cm="1">
        <f t="array" aca="1" ref="D148" ca="1">IF(ISNUMBER(_xll.VoseSimPercentile(Crash_47,0.5)),_xll.VoseSimPercentile(Crash_47,0.5),NA())</f>
        <v>109</v>
      </c>
      <c r="E148" s="64" cm="1">
        <f t="array" aca="1" ref="E148" ca="1">IF(ISNUMBER(_xll.VoseSimPercentile(Crash_47,0.9)),_xll.VoseSimPercentile(Crash_47,0.9),NA())</f>
        <v>125</v>
      </c>
      <c r="F148" s="64" cm="1">
        <f t="array" aca="1" ref="F148" ca="1">IF(ISNUMBER(_xll.VoseSimMean(Crash_47)),_xll.VoseSimMean(Crash_47),NA())</f>
        <v>109.31296564828241</v>
      </c>
    </row>
    <row r="149" spans="2:7" hidden="1" outlineLevel="1" x14ac:dyDescent="0.45">
      <c r="B149" s="65" t="s">
        <v>241</v>
      </c>
      <c r="C149" s="64" cm="1">
        <f t="array" aca="1" ref="C149" ca="1">IF(ISNUMBER(_xll.VoseSimPercentile(Crash_48,0.1)),_xll.VoseSimPercentile(Crash_48,0.1),NA())</f>
        <v>102</v>
      </c>
      <c r="D149" s="64" cm="1">
        <f t="array" aca="1" ref="D149" ca="1">IF(ISNUMBER(_xll.VoseSimPercentile(Crash_48,0.5)),_xll.VoseSimPercentile(Crash_48,0.5),NA())</f>
        <v>117</v>
      </c>
      <c r="E149" s="64" cm="1">
        <f t="array" aca="1" ref="E149" ca="1">IF(ISNUMBER(_xll.VoseSimPercentile(Crash_48,0.9)),_xll.VoseSimPercentile(Crash_48,0.9),NA())</f>
        <v>134</v>
      </c>
      <c r="F149" s="64" cm="1">
        <f t="array" aca="1" ref="F149" ca="1">IF(ISNUMBER(_xll.VoseSimMean(Crash_48)),_xll.VoseSimMean(Crash_48),NA())</f>
        <v>117.56532826641332</v>
      </c>
    </row>
    <row r="150" spans="2:7" hidden="1" outlineLevel="1" x14ac:dyDescent="0.45">
      <c r="B150" s="65" t="s">
        <v>242</v>
      </c>
      <c r="C150" s="64" cm="1">
        <f t="array" aca="1" ref="C150" ca="1">IF(ISNUMBER(_xll.VoseSimPercentile(Crash_49,0.1)),_xll.VoseSimPercentile(Crash_49,0.1),NA())</f>
        <v>111</v>
      </c>
      <c r="D150" s="64" cm="1">
        <f t="array" aca="1" ref="D150" ca="1">IF(ISNUMBER(_xll.VoseSimPercentile(Crash_49,0.5)),_xll.VoseSimPercentile(Crash_49,0.5),NA())</f>
        <v>127</v>
      </c>
      <c r="E150" s="64" cm="1">
        <f t="array" aca="1" ref="E150" ca="1">IF(ISNUMBER(_xll.VoseSimPercentile(Crash_49,0.9)),_xll.VoseSimPercentile(Crash_49,0.9),NA())</f>
        <v>145</v>
      </c>
      <c r="F150" s="64" cm="1">
        <f t="array" aca="1" ref="F150" ca="1">IF(ISNUMBER(_xll.VoseSimMean(Crash_49)),_xll.VoseSimMean(Crash_49),NA())</f>
        <v>127.47367368368418</v>
      </c>
    </row>
    <row r="151" spans="2:7" hidden="1" outlineLevel="1" x14ac:dyDescent="0.45">
      <c r="B151" s="65" t="s">
        <v>243</v>
      </c>
      <c r="C151" s="64" cm="1">
        <f t="array" aca="1" ref="C151" ca="1">IF(ISNUMBER(_xll.VoseSimPercentile(Crash_50,0.1)),_xll.VoseSimPercentile(Crash_50,0.1),NA())</f>
        <v>119</v>
      </c>
      <c r="D151" s="64" cm="1">
        <f t="array" aca="1" ref="D151" ca="1">IF(ISNUMBER(_xll.VoseSimPercentile(Crash_50,0.5)),_xll.VoseSimPercentile(Crash_50,0.5),NA())</f>
        <v>136</v>
      </c>
      <c r="E151" s="64" cm="1">
        <f t="array" aca="1" ref="E151" ca="1">IF(ISNUMBER(_xll.VoseSimPercentile(Crash_50,0.9)),_xll.VoseSimPercentile(Crash_50,0.9),NA())</f>
        <v>154</v>
      </c>
      <c r="F151" s="64" cm="1">
        <f t="array" aca="1" ref="F151" ca="1">IF(ISNUMBER(_xll.VoseSimMean(Crash_50)),_xll.VoseSimMean(Crash_50),NA())</f>
        <v>136.49117455872795</v>
      </c>
    </row>
    <row r="152" spans="2:7" hidden="1" outlineLevel="1" x14ac:dyDescent="0.45">
      <c r="B152" s="65" t="s">
        <v>244</v>
      </c>
      <c r="C152" s="64" cm="1">
        <f t="array" aca="1" ref="C152" ca="1">IF(ISNUMBER(_xll.VoseSimPercentile(Crash_51,0.1)),_xll.VoseSimPercentile(Crash_51,0.1),NA())</f>
        <v>126</v>
      </c>
      <c r="D152" s="64" cm="1">
        <f t="array" aca="1" ref="D152" ca="1">IF(ISNUMBER(_xll.VoseSimPercentile(Crash_51,0.5)),_xll.VoseSimPercentile(Crash_51,0.5),NA())</f>
        <v>143</v>
      </c>
      <c r="E152" s="64" cm="1">
        <f t="array" aca="1" ref="E152" ca="1">IF(ISNUMBER(_xll.VoseSimPercentile(Crash_51,0.9)),_xll.VoseSimPercentile(Crash_51,0.9),NA())</f>
        <v>163</v>
      </c>
      <c r="F152" s="64" cm="1">
        <f t="array" aca="1" ref="F152" ca="1">IF(ISNUMBER(_xll.VoseSimMean(Crash_51)),_xll.VoseSimMean(Crash_51),NA())</f>
        <v>143.91099554977748</v>
      </c>
    </row>
    <row r="153" spans="2:7" hidden="1" outlineLevel="1" x14ac:dyDescent="0.45">
      <c r="B153" s="65" t="s">
        <v>245</v>
      </c>
      <c r="C153" s="64" cm="1">
        <f t="array" aca="1" ref="C153" ca="1">IF(ISNUMBER(_xll.VoseSimPercentile(Crash_52,0.1)),_xll.VoseSimPercentile(Crash_52,0.1),NA())</f>
        <v>136</v>
      </c>
      <c r="D153" s="64" cm="1">
        <f t="array" aca="1" ref="D153" ca="1">IF(ISNUMBER(_xll.VoseSimPercentile(Crash_52,0.5)),_xll.VoseSimPercentile(Crash_52,0.5),NA())</f>
        <v>153</v>
      </c>
      <c r="E153" s="64" cm="1">
        <f t="array" aca="1" ref="E153" ca="1">IF(ISNUMBER(_xll.VoseSimPercentile(Crash_52,0.9)),_xll.VoseSimPercentile(Crash_52,0.9),NA())</f>
        <v>173</v>
      </c>
      <c r="F153" s="64" cm="1">
        <f t="array" aca="1" ref="F153" ca="1">IF(ISNUMBER(_xll.VoseSimMean(Crash_52)),_xll.VoseSimMean(Crash_52),NA())</f>
        <v>153.88244412220612</v>
      </c>
    </row>
    <row r="154" spans="2:7" hidden="1" outlineLevel="1" x14ac:dyDescent="0.45"/>
    <row r="155" spans="2:7" ht="18" hidden="1" customHeight="1" outlineLevel="1" x14ac:dyDescent="0.45">
      <c r="B155" s="23" t="s">
        <v>246</v>
      </c>
      <c r="C155" s="24" t="s">
        <v>155</v>
      </c>
      <c r="D155" s="5"/>
      <c r="E155" s="5"/>
      <c r="F155" s="5"/>
      <c r="G155" s="5"/>
    </row>
    <row r="156" spans="2:7" hidden="1" outlineLevel="1" x14ac:dyDescent="0.45">
      <c r="B156" s="66">
        <v>5.0000000000000001E-3</v>
      </c>
      <c r="C156" s="64" cm="1">
        <f t="array" aca="1" ref="C156" ca="1">IF(ISNUMBER(_xll.VoseSimPercentile(Total,0.005)),_xll.VoseSimPercentile(Total,0.005),NA())</f>
        <v>4934</v>
      </c>
    </row>
    <row r="157" spans="2:7" hidden="1" outlineLevel="1" x14ac:dyDescent="0.45">
      <c r="B157" s="66">
        <v>0.01</v>
      </c>
      <c r="C157" s="64" cm="1">
        <f t="array" aca="1" ref="C157" ca="1">IF(ISNUMBER(_xll.VoseSimPercentile(Total,0.01)),_xll.VoseSimPercentile(Total,0.01),NA())</f>
        <v>4959</v>
      </c>
    </row>
    <row r="158" spans="2:7" hidden="1" outlineLevel="1" x14ac:dyDescent="0.45">
      <c r="B158" s="66">
        <v>0.02</v>
      </c>
      <c r="C158" s="64" cm="1">
        <f t="array" aca="1" ref="C158" ca="1">IF(ISNUMBER(_xll.VoseSimPercentile(Total,0.02)),_xll.VoseSimPercentile(Total,0.02),NA())</f>
        <v>4983</v>
      </c>
    </row>
    <row r="159" spans="2:7" hidden="1" outlineLevel="1" x14ac:dyDescent="0.45">
      <c r="B159" s="66">
        <v>0.03</v>
      </c>
      <c r="C159" s="64" cm="1">
        <f t="array" aca="1" ref="C159" ca="1">IF(ISNUMBER(_xll.VoseSimPercentile(Total,0.03)),_xll.VoseSimPercentile(Total,0.03),NA())</f>
        <v>4999</v>
      </c>
    </row>
    <row r="160" spans="2:7" hidden="1" outlineLevel="1" x14ac:dyDescent="0.45">
      <c r="B160" s="66">
        <v>0.04</v>
      </c>
      <c r="C160" s="64" cm="1">
        <f t="array" aca="1" ref="C160" ca="1">IF(ISNUMBER(_xll.VoseSimPercentile(Total,0.04)),_xll.VoseSimPercentile(Total,0.04),NA())</f>
        <v>5010</v>
      </c>
    </row>
    <row r="161" spans="2:3" hidden="1" outlineLevel="1" x14ac:dyDescent="0.45">
      <c r="B161" s="66">
        <v>0.05</v>
      </c>
      <c r="C161" s="64" cm="1">
        <f t="array" aca="1" ref="C161" ca="1">IF(ISNUMBER(_xll.VoseSimPercentile(Total,0.05)),_xll.VoseSimPercentile(Total,0.05),NA())</f>
        <v>5020</v>
      </c>
    </row>
    <row r="162" spans="2:3" hidden="1" outlineLevel="1" x14ac:dyDescent="0.45">
      <c r="B162" s="66">
        <v>0.06</v>
      </c>
      <c r="C162" s="64" cm="1">
        <f t="array" aca="1" ref="C162" ca="1">IF(ISNUMBER(_xll.VoseSimPercentile(Total,0.06)),_xll.VoseSimPercentile(Total,0.06),NA())</f>
        <v>5028</v>
      </c>
    </row>
    <row r="163" spans="2:3" hidden="1" outlineLevel="1" x14ac:dyDescent="0.45">
      <c r="B163" s="66">
        <v>7.0000000000000007E-2</v>
      </c>
      <c r="C163" s="64" cm="1">
        <f t="array" aca="1" ref="C163" ca="1">IF(ISNUMBER(_xll.VoseSimPercentile(Total,0.07)),_xll.VoseSimPercentile(Total,0.07),NA())</f>
        <v>5035</v>
      </c>
    </row>
    <row r="164" spans="2:3" hidden="1" outlineLevel="1" x14ac:dyDescent="0.45">
      <c r="B164" s="66">
        <v>0.08</v>
      </c>
      <c r="C164" s="64" cm="1">
        <f t="array" aca="1" ref="C164" ca="1">IF(ISNUMBER(_xll.VoseSimPercentile(Total,0.08)),_xll.VoseSimPercentile(Total,0.08),NA())</f>
        <v>5041</v>
      </c>
    </row>
    <row r="165" spans="2:3" hidden="1" outlineLevel="1" x14ac:dyDescent="0.45">
      <c r="B165" s="66">
        <v>0.09</v>
      </c>
      <c r="C165" s="64" cm="1">
        <f t="array" aca="1" ref="C165" ca="1">IF(ISNUMBER(_xll.VoseSimPercentile(Total,0.09)),_xll.VoseSimPercentile(Total,0.09),NA())</f>
        <v>5047</v>
      </c>
    </row>
    <row r="166" spans="2:3" hidden="1" outlineLevel="1" x14ac:dyDescent="0.45">
      <c r="B166" s="66">
        <v>0.1</v>
      </c>
      <c r="C166" s="64" cm="1">
        <f t="array" aca="1" ref="C166" ca="1">IF(ISNUMBER(_xll.VoseSimPercentile(Total,0.1)),_xll.VoseSimPercentile(Total,0.1),NA())</f>
        <v>5053</v>
      </c>
    </row>
    <row r="167" spans="2:3" hidden="1" outlineLevel="1" x14ac:dyDescent="0.45">
      <c r="B167" s="66">
        <v>0.11</v>
      </c>
      <c r="C167" s="64" cm="1">
        <f t="array" aca="1" ref="C167" ca="1">IF(ISNUMBER(_xll.VoseSimPercentile(Total,0.11)),_xll.VoseSimPercentile(Total,0.11),NA())</f>
        <v>5058</v>
      </c>
    </row>
    <row r="168" spans="2:3" hidden="1" outlineLevel="1" x14ac:dyDescent="0.45">
      <c r="B168" s="66">
        <v>0.12</v>
      </c>
      <c r="C168" s="64" cm="1">
        <f t="array" aca="1" ref="C168" ca="1">IF(ISNUMBER(_xll.VoseSimPercentile(Total,0.12)),_xll.VoseSimPercentile(Total,0.12),NA())</f>
        <v>5064</v>
      </c>
    </row>
    <row r="169" spans="2:3" hidden="1" outlineLevel="1" x14ac:dyDescent="0.45">
      <c r="B169" s="66">
        <v>0.13</v>
      </c>
      <c r="C169" s="64" cm="1">
        <f t="array" aca="1" ref="C169" ca="1">IF(ISNUMBER(_xll.VoseSimPercentile(Total,0.13)),_xll.VoseSimPercentile(Total,0.13),NA())</f>
        <v>5069</v>
      </c>
    </row>
    <row r="170" spans="2:3" hidden="1" outlineLevel="1" x14ac:dyDescent="0.45">
      <c r="B170" s="66">
        <v>0.14000000000000001</v>
      </c>
      <c r="C170" s="64" cm="1">
        <f t="array" aca="1" ref="C170" ca="1">IF(ISNUMBER(_xll.VoseSimPercentile(Total,0.14)),_xll.VoseSimPercentile(Total,0.14),NA())</f>
        <v>5074</v>
      </c>
    </row>
    <row r="171" spans="2:3" hidden="1" outlineLevel="1" x14ac:dyDescent="0.45">
      <c r="B171" s="66">
        <v>0.15</v>
      </c>
      <c r="C171" s="64" cm="1">
        <f t="array" aca="1" ref="C171" ca="1">IF(ISNUMBER(_xll.VoseSimPercentile(Total,0.15)),_xll.VoseSimPercentile(Total,0.15),NA())</f>
        <v>5079</v>
      </c>
    </row>
    <row r="172" spans="2:3" hidden="1" outlineLevel="1" x14ac:dyDescent="0.45">
      <c r="B172" s="66">
        <v>0.16</v>
      </c>
      <c r="C172" s="64" cm="1">
        <f t="array" aca="1" ref="C172" ca="1">IF(ISNUMBER(_xll.VoseSimPercentile(Total,0.16)),_xll.VoseSimPercentile(Total,0.16),NA())</f>
        <v>5083</v>
      </c>
    </row>
    <row r="173" spans="2:3" hidden="1" outlineLevel="1" x14ac:dyDescent="0.45">
      <c r="B173" s="66">
        <v>0.17</v>
      </c>
      <c r="C173" s="64" cm="1">
        <f t="array" aca="1" ref="C173" ca="1">IF(ISNUMBER(_xll.VoseSimPercentile(Total,0.17)),_xll.VoseSimPercentile(Total,0.17),NA())</f>
        <v>5087</v>
      </c>
    </row>
    <row r="174" spans="2:3" hidden="1" outlineLevel="1" x14ac:dyDescent="0.45">
      <c r="B174" s="66">
        <v>0.18</v>
      </c>
      <c r="C174" s="64" cm="1">
        <f t="array" aca="1" ref="C174" ca="1">IF(ISNUMBER(_xll.VoseSimPercentile(Total,0.18)),_xll.VoseSimPercentile(Total,0.18),NA())</f>
        <v>5092</v>
      </c>
    </row>
    <row r="175" spans="2:3" hidden="1" outlineLevel="1" x14ac:dyDescent="0.45">
      <c r="B175" s="66">
        <v>0.19</v>
      </c>
      <c r="C175" s="64" cm="1">
        <f t="array" aca="1" ref="C175" ca="1">IF(ISNUMBER(_xll.VoseSimPercentile(Total,0.19)),_xll.VoseSimPercentile(Total,0.19),NA())</f>
        <v>5096</v>
      </c>
    </row>
    <row r="176" spans="2:3" hidden="1" outlineLevel="1" x14ac:dyDescent="0.45">
      <c r="B176" s="66">
        <v>0.2</v>
      </c>
      <c r="C176" s="64" cm="1">
        <f t="array" aca="1" ref="C176" ca="1">IF(ISNUMBER(_xll.VoseSimPercentile(Total,0.2)),_xll.VoseSimPercentile(Total,0.2),NA())</f>
        <v>5099</v>
      </c>
    </row>
    <row r="177" spans="2:3" hidden="1" outlineLevel="1" x14ac:dyDescent="0.45">
      <c r="B177" s="66">
        <v>0.21</v>
      </c>
      <c r="C177" s="64" cm="1">
        <f t="array" aca="1" ref="C177" ca="1">IF(ISNUMBER(_xll.VoseSimPercentile(Total,0.21)),_xll.VoseSimPercentile(Total,0.21),NA())</f>
        <v>5103</v>
      </c>
    </row>
    <row r="178" spans="2:3" hidden="1" outlineLevel="1" x14ac:dyDescent="0.45">
      <c r="B178" s="66">
        <v>0.22</v>
      </c>
      <c r="C178" s="64" cm="1">
        <f t="array" aca="1" ref="C178" ca="1">IF(ISNUMBER(_xll.VoseSimPercentile(Total,0.22)),_xll.VoseSimPercentile(Total,0.22),NA())</f>
        <v>5106</v>
      </c>
    </row>
    <row r="179" spans="2:3" hidden="1" outlineLevel="1" x14ac:dyDescent="0.45">
      <c r="B179" s="66">
        <v>0.23</v>
      </c>
      <c r="C179" s="64" cm="1">
        <f t="array" aca="1" ref="C179" ca="1">IF(ISNUMBER(_xll.VoseSimPercentile(Total,0.23)),_xll.VoseSimPercentile(Total,0.23),NA())</f>
        <v>5110</v>
      </c>
    </row>
    <row r="180" spans="2:3" hidden="1" outlineLevel="1" x14ac:dyDescent="0.45">
      <c r="B180" s="66">
        <v>0.24</v>
      </c>
      <c r="C180" s="64" cm="1">
        <f t="array" aca="1" ref="C180" ca="1">IF(ISNUMBER(_xll.VoseSimPercentile(Total,0.24)),_xll.VoseSimPercentile(Total,0.24),NA())</f>
        <v>5113</v>
      </c>
    </row>
    <row r="181" spans="2:3" hidden="1" outlineLevel="1" x14ac:dyDescent="0.45">
      <c r="B181" s="66">
        <v>0.25</v>
      </c>
      <c r="C181" s="64" cm="1">
        <f t="array" aca="1" ref="C181" ca="1">IF(ISNUMBER(_xll.VoseSimPercentile(Total,0.25)),_xll.VoseSimPercentile(Total,0.25),NA())</f>
        <v>5117</v>
      </c>
    </row>
    <row r="182" spans="2:3" hidden="1" outlineLevel="1" x14ac:dyDescent="0.45">
      <c r="B182" s="66">
        <v>0.26</v>
      </c>
      <c r="C182" s="64" cm="1">
        <f t="array" aca="1" ref="C182" ca="1">IF(ISNUMBER(_xll.VoseSimPercentile(Total,0.26)),_xll.VoseSimPercentile(Total,0.26),NA())</f>
        <v>5121</v>
      </c>
    </row>
    <row r="183" spans="2:3" hidden="1" outlineLevel="1" x14ac:dyDescent="0.45">
      <c r="B183" s="66">
        <v>0.27</v>
      </c>
      <c r="C183" s="64" cm="1">
        <f t="array" aca="1" ref="C183" ca="1">IF(ISNUMBER(_xll.VoseSimPercentile(Total,0.27)),_xll.VoseSimPercentile(Total,0.27),NA())</f>
        <v>5124</v>
      </c>
    </row>
    <row r="184" spans="2:3" hidden="1" outlineLevel="1" x14ac:dyDescent="0.45">
      <c r="B184" s="66">
        <v>0.28000000000000003</v>
      </c>
      <c r="C184" s="64" cm="1">
        <f t="array" aca="1" ref="C184" ca="1">IF(ISNUMBER(_xll.VoseSimPercentile(Total,0.28)),_xll.VoseSimPercentile(Total,0.28),NA())</f>
        <v>5128</v>
      </c>
    </row>
    <row r="185" spans="2:3" hidden="1" outlineLevel="1" x14ac:dyDescent="0.45">
      <c r="B185" s="66">
        <v>0.28999999999999998</v>
      </c>
      <c r="C185" s="64" cm="1">
        <f t="array" aca="1" ref="C185" ca="1">IF(ISNUMBER(_xll.VoseSimPercentile(Total,0.29)),_xll.VoseSimPercentile(Total,0.29),NA())</f>
        <v>5132</v>
      </c>
    </row>
    <row r="186" spans="2:3" hidden="1" outlineLevel="1" x14ac:dyDescent="0.45">
      <c r="B186" s="66">
        <v>0.3</v>
      </c>
      <c r="C186" s="64" cm="1">
        <f t="array" aca="1" ref="C186" ca="1">IF(ISNUMBER(_xll.VoseSimPercentile(Total,0.3)),_xll.VoseSimPercentile(Total,0.3),NA())</f>
        <v>5135</v>
      </c>
    </row>
    <row r="187" spans="2:3" hidden="1" outlineLevel="1" x14ac:dyDescent="0.45">
      <c r="B187" s="66">
        <v>0.31</v>
      </c>
      <c r="C187" s="64" cm="1">
        <f t="array" aca="1" ref="C187" ca="1">IF(ISNUMBER(_xll.VoseSimPercentile(Total,0.31)),_xll.VoseSimPercentile(Total,0.31),NA())</f>
        <v>5138</v>
      </c>
    </row>
    <row r="188" spans="2:3" hidden="1" outlineLevel="1" x14ac:dyDescent="0.45">
      <c r="B188" s="66">
        <v>0.32</v>
      </c>
      <c r="C188" s="64" cm="1">
        <f t="array" aca="1" ref="C188" ca="1">IF(ISNUMBER(_xll.VoseSimPercentile(Total,0.32)),_xll.VoseSimPercentile(Total,0.32),NA())</f>
        <v>5141</v>
      </c>
    </row>
    <row r="189" spans="2:3" hidden="1" outlineLevel="1" x14ac:dyDescent="0.45">
      <c r="B189" s="66">
        <v>0.33</v>
      </c>
      <c r="C189" s="64" cm="1">
        <f t="array" aca="1" ref="C189" ca="1">IF(ISNUMBER(_xll.VoseSimPercentile(Total,0.33)),_xll.VoseSimPercentile(Total,0.33),NA())</f>
        <v>5144</v>
      </c>
    </row>
    <row r="190" spans="2:3" hidden="1" outlineLevel="1" x14ac:dyDescent="0.45">
      <c r="B190" s="66">
        <v>0.34</v>
      </c>
      <c r="C190" s="64" cm="1">
        <f t="array" aca="1" ref="C190" ca="1">IF(ISNUMBER(_xll.VoseSimPercentile(Total,0.34)),_xll.VoseSimPercentile(Total,0.34),NA())</f>
        <v>5148</v>
      </c>
    </row>
    <row r="191" spans="2:3" hidden="1" outlineLevel="1" x14ac:dyDescent="0.45">
      <c r="B191" s="66">
        <v>0.35</v>
      </c>
      <c r="C191" s="64" cm="1">
        <f t="array" aca="1" ref="C191" ca="1">IF(ISNUMBER(_xll.VoseSimPercentile(Total,0.35)),_xll.VoseSimPercentile(Total,0.35),NA())</f>
        <v>5151</v>
      </c>
    </row>
    <row r="192" spans="2:3" hidden="1" outlineLevel="1" x14ac:dyDescent="0.45">
      <c r="B192" s="66">
        <v>0.36</v>
      </c>
      <c r="C192" s="64" cm="1">
        <f t="array" aca="1" ref="C192" ca="1">IF(ISNUMBER(_xll.VoseSimPercentile(Total,0.36)),_xll.VoseSimPercentile(Total,0.36),NA())</f>
        <v>5154</v>
      </c>
    </row>
    <row r="193" spans="2:3" hidden="1" outlineLevel="1" x14ac:dyDescent="0.45">
      <c r="B193" s="66">
        <v>0.37</v>
      </c>
      <c r="C193" s="64" cm="1">
        <f t="array" aca="1" ref="C193" ca="1">IF(ISNUMBER(_xll.VoseSimPercentile(Total,0.37)),_xll.VoseSimPercentile(Total,0.37),NA())</f>
        <v>5157</v>
      </c>
    </row>
    <row r="194" spans="2:3" hidden="1" outlineLevel="1" x14ac:dyDescent="0.45">
      <c r="B194" s="66">
        <v>0.38</v>
      </c>
      <c r="C194" s="64" cm="1">
        <f t="array" aca="1" ref="C194" ca="1">IF(ISNUMBER(_xll.VoseSimPercentile(Total,0.38)),_xll.VoseSimPercentile(Total,0.38),NA())</f>
        <v>5161</v>
      </c>
    </row>
    <row r="195" spans="2:3" hidden="1" outlineLevel="1" x14ac:dyDescent="0.45">
      <c r="B195" s="66">
        <v>0.39</v>
      </c>
      <c r="C195" s="64" cm="1">
        <f t="array" aca="1" ref="C195" ca="1">IF(ISNUMBER(_xll.VoseSimPercentile(Total,0.39)),_xll.VoseSimPercentile(Total,0.39),NA())</f>
        <v>5163</v>
      </c>
    </row>
    <row r="196" spans="2:3" hidden="1" outlineLevel="1" x14ac:dyDescent="0.45">
      <c r="B196" s="66">
        <v>0.4</v>
      </c>
      <c r="C196" s="64" cm="1">
        <f t="array" aca="1" ref="C196" ca="1">IF(ISNUMBER(_xll.VoseSimPercentile(Total,0.4)),_xll.VoseSimPercentile(Total,0.4),NA())</f>
        <v>5166</v>
      </c>
    </row>
    <row r="197" spans="2:3" hidden="1" outlineLevel="1" x14ac:dyDescent="0.45">
      <c r="B197" s="66">
        <v>0.41</v>
      </c>
      <c r="C197" s="64" cm="1">
        <f t="array" aca="1" ref="C197" ca="1">IF(ISNUMBER(_xll.VoseSimPercentile(Total,0.41)),_xll.VoseSimPercentile(Total,0.41),NA())</f>
        <v>5170</v>
      </c>
    </row>
    <row r="198" spans="2:3" hidden="1" outlineLevel="1" x14ac:dyDescent="0.45">
      <c r="B198" s="66">
        <v>0.42</v>
      </c>
      <c r="C198" s="64" cm="1">
        <f t="array" aca="1" ref="C198" ca="1">IF(ISNUMBER(_xll.VoseSimPercentile(Total,0.42)),_xll.VoseSimPercentile(Total,0.42),NA())</f>
        <v>5174</v>
      </c>
    </row>
    <row r="199" spans="2:3" hidden="1" outlineLevel="1" x14ac:dyDescent="0.45">
      <c r="B199" s="66">
        <v>0.43</v>
      </c>
      <c r="C199" s="64" cm="1">
        <f t="array" aca="1" ref="C199" ca="1">IF(ISNUMBER(_xll.VoseSimPercentile(Total,0.43)),_xll.VoseSimPercentile(Total,0.43),NA())</f>
        <v>5177</v>
      </c>
    </row>
    <row r="200" spans="2:3" hidden="1" outlineLevel="1" x14ac:dyDescent="0.45">
      <c r="B200" s="66">
        <v>0.44</v>
      </c>
      <c r="C200" s="64" cm="1">
        <f t="array" aca="1" ref="C200" ca="1">IF(ISNUMBER(_xll.VoseSimPercentile(Total,0.44)),_xll.VoseSimPercentile(Total,0.44),NA())</f>
        <v>5180</v>
      </c>
    </row>
    <row r="201" spans="2:3" hidden="1" outlineLevel="1" x14ac:dyDescent="0.45">
      <c r="B201" s="66">
        <v>0.45</v>
      </c>
      <c r="C201" s="64" cm="1">
        <f t="array" aca="1" ref="C201" ca="1">IF(ISNUMBER(_xll.VoseSimPercentile(Total,0.45)),_xll.VoseSimPercentile(Total,0.45),NA())</f>
        <v>5183</v>
      </c>
    </row>
    <row r="202" spans="2:3" hidden="1" outlineLevel="1" x14ac:dyDescent="0.45">
      <c r="B202" s="66">
        <v>0.46</v>
      </c>
      <c r="C202" s="64" cm="1">
        <f t="array" aca="1" ref="C202" ca="1">IF(ISNUMBER(_xll.VoseSimPercentile(Total,0.46)),_xll.VoseSimPercentile(Total,0.46),NA())</f>
        <v>5187</v>
      </c>
    </row>
    <row r="203" spans="2:3" hidden="1" outlineLevel="1" x14ac:dyDescent="0.45">
      <c r="B203" s="66">
        <v>0.47</v>
      </c>
      <c r="C203" s="64" cm="1">
        <f t="array" aca="1" ref="C203" ca="1">IF(ISNUMBER(_xll.VoseSimPercentile(Total,0.47)),_xll.VoseSimPercentile(Total,0.47),NA())</f>
        <v>5190</v>
      </c>
    </row>
    <row r="204" spans="2:3" hidden="1" outlineLevel="1" x14ac:dyDescent="0.45">
      <c r="B204" s="66">
        <v>0.48</v>
      </c>
      <c r="C204" s="64" cm="1">
        <f t="array" aca="1" ref="C204" ca="1">IF(ISNUMBER(_xll.VoseSimPercentile(Total,0.48)),_xll.VoseSimPercentile(Total,0.48),NA())</f>
        <v>5194</v>
      </c>
    </row>
    <row r="205" spans="2:3" hidden="1" outlineLevel="1" x14ac:dyDescent="0.45">
      <c r="B205" s="66">
        <v>0.49</v>
      </c>
      <c r="C205" s="64" cm="1">
        <f t="array" aca="1" ref="C205" ca="1">IF(ISNUMBER(_xll.VoseSimPercentile(Total,0.49)),_xll.VoseSimPercentile(Total,0.49),NA())</f>
        <v>5198</v>
      </c>
    </row>
    <row r="206" spans="2:3" hidden="1" outlineLevel="1" x14ac:dyDescent="0.45">
      <c r="B206" s="66">
        <v>0.5</v>
      </c>
      <c r="C206" s="64" cm="1">
        <f t="array" aca="1" ref="C206" ca="1">IF(ISNUMBER(_xll.VoseSimPercentile(Total,0.5)),_xll.VoseSimPercentile(Total,0.5),NA())</f>
        <v>5202</v>
      </c>
    </row>
    <row r="207" spans="2:3" hidden="1" outlineLevel="1" x14ac:dyDescent="0.45">
      <c r="B207" s="66">
        <v>0.51</v>
      </c>
      <c r="C207" s="64" cm="1">
        <f t="array" aca="1" ref="C207" ca="1">IF(ISNUMBER(_xll.VoseSimPercentile(Total,0.51)),_xll.VoseSimPercentile(Total,0.51),NA())</f>
        <v>5207</v>
      </c>
    </row>
    <row r="208" spans="2:3" hidden="1" outlineLevel="1" x14ac:dyDescent="0.45">
      <c r="B208" s="66">
        <v>0.52</v>
      </c>
      <c r="C208" s="64" cm="1">
        <f t="array" aca="1" ref="C208" ca="1">IF(ISNUMBER(_xll.VoseSimPercentile(Total,0.52)),_xll.VoseSimPercentile(Total,0.52),NA())</f>
        <v>5211</v>
      </c>
    </row>
    <row r="209" spans="2:3" hidden="1" outlineLevel="1" x14ac:dyDescent="0.45">
      <c r="B209" s="66">
        <v>0.53</v>
      </c>
      <c r="C209" s="64" cm="1">
        <f t="array" aca="1" ref="C209" ca="1">IF(ISNUMBER(_xll.VoseSimPercentile(Total,0.53)),_xll.VoseSimPercentile(Total,0.53),NA())</f>
        <v>5215</v>
      </c>
    </row>
    <row r="210" spans="2:3" hidden="1" outlineLevel="1" x14ac:dyDescent="0.45">
      <c r="B210" s="66">
        <v>0.54</v>
      </c>
      <c r="C210" s="64" cm="1">
        <f t="array" aca="1" ref="C210" ca="1">IF(ISNUMBER(_xll.VoseSimPercentile(Total,0.54)),_xll.VoseSimPercentile(Total,0.54),NA())</f>
        <v>5219</v>
      </c>
    </row>
    <row r="211" spans="2:3" hidden="1" outlineLevel="1" x14ac:dyDescent="0.45">
      <c r="B211" s="66">
        <v>0.55000000000000004</v>
      </c>
      <c r="C211" s="64" cm="1">
        <f t="array" aca="1" ref="C211" ca="1">IF(ISNUMBER(_xll.VoseSimPercentile(Total,0.55)),_xll.VoseSimPercentile(Total,0.55),NA())</f>
        <v>5224</v>
      </c>
    </row>
    <row r="212" spans="2:3" hidden="1" outlineLevel="1" x14ac:dyDescent="0.45">
      <c r="B212" s="66">
        <v>0.56000000000000005</v>
      </c>
      <c r="C212" s="64" cm="1">
        <f t="array" aca="1" ref="C212" ca="1">IF(ISNUMBER(_xll.VoseSimPercentile(Total,0.56)),_xll.VoseSimPercentile(Total,0.56),NA())</f>
        <v>5228</v>
      </c>
    </row>
    <row r="213" spans="2:3" hidden="1" outlineLevel="1" x14ac:dyDescent="0.45">
      <c r="B213" s="66">
        <v>0.56999999999999995</v>
      </c>
      <c r="C213" s="64" cm="1">
        <f t="array" aca="1" ref="C213" ca="1">IF(ISNUMBER(_xll.VoseSimPercentile(Total,0.57)),_xll.VoseSimPercentile(Total,0.57),NA())</f>
        <v>5232</v>
      </c>
    </row>
    <row r="214" spans="2:3" hidden="1" outlineLevel="1" x14ac:dyDescent="0.45">
      <c r="B214" s="66">
        <v>0.57999999999999996</v>
      </c>
      <c r="C214" s="64" cm="1">
        <f t="array" aca="1" ref="C214" ca="1">IF(ISNUMBER(_xll.VoseSimPercentile(Total,0.58)),_xll.VoseSimPercentile(Total,0.58),NA())</f>
        <v>5237</v>
      </c>
    </row>
    <row r="215" spans="2:3" hidden="1" outlineLevel="1" x14ac:dyDescent="0.45">
      <c r="B215" s="66">
        <v>0.59</v>
      </c>
      <c r="C215" s="64" cm="1">
        <f t="array" aca="1" ref="C215" ca="1">IF(ISNUMBER(_xll.VoseSimPercentile(Total,0.59)),_xll.VoseSimPercentile(Total,0.59),NA())</f>
        <v>5241</v>
      </c>
    </row>
    <row r="216" spans="2:3" hidden="1" outlineLevel="1" x14ac:dyDescent="0.45">
      <c r="B216" s="66">
        <v>0.6</v>
      </c>
      <c r="C216" s="64" cm="1">
        <f t="array" aca="1" ref="C216" ca="1">IF(ISNUMBER(_xll.VoseSimPercentile(Total,0.6)),_xll.VoseSimPercentile(Total,0.6),NA())</f>
        <v>5246</v>
      </c>
    </row>
    <row r="217" spans="2:3" hidden="1" outlineLevel="1" x14ac:dyDescent="0.45">
      <c r="B217" s="66">
        <v>0.61</v>
      </c>
      <c r="C217" s="64" cm="1">
        <f t="array" aca="1" ref="C217" ca="1">IF(ISNUMBER(_xll.VoseSimPercentile(Total,0.61)),_xll.VoseSimPercentile(Total,0.61),NA())</f>
        <v>5251</v>
      </c>
    </row>
    <row r="218" spans="2:3" hidden="1" outlineLevel="1" x14ac:dyDescent="0.45">
      <c r="B218" s="66">
        <v>0.62</v>
      </c>
      <c r="C218" s="64" cm="1">
        <f t="array" aca="1" ref="C218" ca="1">IF(ISNUMBER(_xll.VoseSimPercentile(Total,0.62)),_xll.VoseSimPercentile(Total,0.62),NA())</f>
        <v>5256</v>
      </c>
    </row>
    <row r="219" spans="2:3" hidden="1" outlineLevel="1" x14ac:dyDescent="0.45">
      <c r="B219" s="66">
        <v>0.63</v>
      </c>
      <c r="C219" s="64" cm="1">
        <f t="array" aca="1" ref="C219" ca="1">IF(ISNUMBER(_xll.VoseSimPercentile(Total,0.63)),_xll.VoseSimPercentile(Total,0.63),NA())</f>
        <v>5262</v>
      </c>
    </row>
    <row r="220" spans="2:3" hidden="1" outlineLevel="1" x14ac:dyDescent="0.45">
      <c r="B220" s="66">
        <v>0.64</v>
      </c>
      <c r="C220" s="64" cm="1">
        <f t="array" aca="1" ref="C220" ca="1">IF(ISNUMBER(_xll.VoseSimPercentile(Total,0.64)),_xll.VoseSimPercentile(Total,0.64),NA())</f>
        <v>5269</v>
      </c>
    </row>
    <row r="221" spans="2:3" hidden="1" outlineLevel="1" x14ac:dyDescent="0.45">
      <c r="B221" s="66">
        <v>0.65</v>
      </c>
      <c r="C221" s="64" cm="1">
        <f t="array" aca="1" ref="C221" ca="1">IF(ISNUMBER(_xll.VoseSimPercentile(Total,0.65)),_xll.VoseSimPercentile(Total,0.65),NA())</f>
        <v>5274</v>
      </c>
    </row>
    <row r="222" spans="2:3" hidden="1" outlineLevel="1" x14ac:dyDescent="0.45">
      <c r="B222" s="66">
        <v>0.66</v>
      </c>
      <c r="C222" s="64" cm="1">
        <f t="array" aca="1" ref="C222" ca="1">IF(ISNUMBER(_xll.VoseSimPercentile(Total,0.66)),_xll.VoseSimPercentile(Total,0.66),NA())</f>
        <v>5282</v>
      </c>
    </row>
    <row r="223" spans="2:3" hidden="1" outlineLevel="1" x14ac:dyDescent="0.45">
      <c r="B223" s="66">
        <v>0.67</v>
      </c>
      <c r="C223" s="64" cm="1">
        <f t="array" aca="1" ref="C223" ca="1">IF(ISNUMBER(_xll.VoseSimPercentile(Total,0.67)),_xll.VoseSimPercentile(Total,0.67),NA())</f>
        <v>5289</v>
      </c>
    </row>
    <row r="224" spans="2:3" hidden="1" outlineLevel="1" x14ac:dyDescent="0.45">
      <c r="B224" s="66">
        <v>0.68</v>
      </c>
      <c r="C224" s="64" cm="1">
        <f t="array" aca="1" ref="C224" ca="1">IF(ISNUMBER(_xll.VoseSimPercentile(Total,0.68)),_xll.VoseSimPercentile(Total,0.68),NA())</f>
        <v>5298</v>
      </c>
    </row>
    <row r="225" spans="2:3" hidden="1" outlineLevel="1" x14ac:dyDescent="0.45">
      <c r="B225" s="66">
        <v>0.69</v>
      </c>
      <c r="C225" s="64" cm="1">
        <f t="array" aca="1" ref="C225" ca="1">IF(ISNUMBER(_xll.VoseSimPercentile(Total,0.69)),_xll.VoseSimPercentile(Total,0.69),NA())</f>
        <v>5307</v>
      </c>
    </row>
    <row r="226" spans="2:3" hidden="1" outlineLevel="1" x14ac:dyDescent="0.45">
      <c r="B226" s="66">
        <v>0.7</v>
      </c>
      <c r="C226" s="64" cm="1">
        <f t="array" aca="1" ref="C226" ca="1">IF(ISNUMBER(_xll.VoseSimPercentile(Total,0.7)),_xll.VoseSimPercentile(Total,0.7),NA())</f>
        <v>5317</v>
      </c>
    </row>
    <row r="227" spans="2:3" hidden="1" outlineLevel="1" x14ac:dyDescent="0.45">
      <c r="B227" s="66">
        <v>0.71</v>
      </c>
      <c r="C227" s="64" cm="1">
        <f t="array" aca="1" ref="C227" ca="1">IF(ISNUMBER(_xll.VoseSimPercentile(Total,0.71)),_xll.VoseSimPercentile(Total,0.71),NA())</f>
        <v>5329</v>
      </c>
    </row>
    <row r="228" spans="2:3" hidden="1" outlineLevel="1" x14ac:dyDescent="0.45">
      <c r="B228" s="66">
        <v>0.72</v>
      </c>
      <c r="C228" s="64" cm="1">
        <f t="array" aca="1" ref="C228" ca="1">IF(ISNUMBER(_xll.VoseSimPercentile(Total,0.72)),_xll.VoseSimPercentile(Total,0.72),NA())</f>
        <v>5339</v>
      </c>
    </row>
    <row r="229" spans="2:3" hidden="1" outlineLevel="1" x14ac:dyDescent="0.45">
      <c r="B229" s="66">
        <v>0.73</v>
      </c>
      <c r="C229" s="64" cm="1">
        <f t="array" aca="1" ref="C229" ca="1">IF(ISNUMBER(_xll.VoseSimPercentile(Total,0.73)),_xll.VoseSimPercentile(Total,0.73),NA())</f>
        <v>5350</v>
      </c>
    </row>
    <row r="230" spans="2:3" hidden="1" outlineLevel="1" x14ac:dyDescent="0.45">
      <c r="B230" s="66">
        <v>0.74</v>
      </c>
      <c r="C230" s="64" cm="1">
        <f t="array" aca="1" ref="C230" ca="1">IF(ISNUMBER(_xll.VoseSimPercentile(Total,0.74)),_xll.VoseSimPercentile(Total,0.74),NA())</f>
        <v>5360</v>
      </c>
    </row>
    <row r="231" spans="2:3" hidden="1" outlineLevel="1" x14ac:dyDescent="0.45">
      <c r="B231" s="66">
        <v>0.75</v>
      </c>
      <c r="C231" s="64" cm="1">
        <f t="array" aca="1" ref="C231" ca="1">IF(ISNUMBER(_xll.VoseSimPercentile(Total,0.75)),_xll.VoseSimPercentile(Total,0.75),NA())</f>
        <v>5370</v>
      </c>
    </row>
    <row r="232" spans="2:3" hidden="1" outlineLevel="1" x14ac:dyDescent="0.45">
      <c r="B232" s="66">
        <v>0.76</v>
      </c>
      <c r="C232" s="64" cm="1">
        <f t="array" aca="1" ref="C232" ca="1">IF(ISNUMBER(_xll.VoseSimPercentile(Total,0.76)),_xll.VoseSimPercentile(Total,0.76),NA())</f>
        <v>5380</v>
      </c>
    </row>
    <row r="233" spans="2:3" hidden="1" outlineLevel="1" x14ac:dyDescent="0.45">
      <c r="B233" s="66">
        <v>0.77</v>
      </c>
      <c r="C233" s="64" cm="1">
        <f t="array" aca="1" ref="C233" ca="1">IF(ISNUMBER(_xll.VoseSimPercentile(Total,0.77)),_xll.VoseSimPercentile(Total,0.77),NA())</f>
        <v>5388</v>
      </c>
    </row>
    <row r="234" spans="2:3" hidden="1" outlineLevel="1" x14ac:dyDescent="0.45">
      <c r="B234" s="66">
        <v>0.78</v>
      </c>
      <c r="C234" s="64" cm="1">
        <f t="array" aca="1" ref="C234" ca="1">IF(ISNUMBER(_xll.VoseSimPercentile(Total,0.78)),_xll.VoseSimPercentile(Total,0.78),NA())</f>
        <v>5395</v>
      </c>
    </row>
    <row r="235" spans="2:3" hidden="1" outlineLevel="1" x14ac:dyDescent="0.45">
      <c r="B235" s="66">
        <v>0.79</v>
      </c>
      <c r="C235" s="64" cm="1">
        <f t="array" aca="1" ref="C235" ca="1">IF(ISNUMBER(_xll.VoseSimPercentile(Total,0.79)),_xll.VoseSimPercentile(Total,0.79),NA())</f>
        <v>5402</v>
      </c>
    </row>
    <row r="236" spans="2:3" hidden="1" outlineLevel="1" x14ac:dyDescent="0.45">
      <c r="B236" s="66">
        <v>0.8</v>
      </c>
      <c r="C236" s="64" cm="1">
        <f t="array" aca="1" ref="C236" ca="1">IF(ISNUMBER(_xll.VoseSimPercentile(Total,0.8)),_xll.VoseSimPercentile(Total,0.8),NA())</f>
        <v>5408</v>
      </c>
    </row>
    <row r="237" spans="2:3" hidden="1" outlineLevel="1" x14ac:dyDescent="0.45">
      <c r="B237" s="66">
        <v>0.81</v>
      </c>
      <c r="C237" s="64" cm="1">
        <f t="array" aca="1" ref="C237" ca="1">IF(ISNUMBER(_xll.VoseSimPercentile(Total,0.81)),_xll.VoseSimPercentile(Total,0.81),NA())</f>
        <v>5415</v>
      </c>
    </row>
    <row r="238" spans="2:3" hidden="1" outlineLevel="1" x14ac:dyDescent="0.45">
      <c r="B238" s="66">
        <v>0.82</v>
      </c>
      <c r="C238" s="64" cm="1">
        <f t="array" aca="1" ref="C238" ca="1">IF(ISNUMBER(_xll.VoseSimPercentile(Total,0.82)),_xll.VoseSimPercentile(Total,0.82),NA())</f>
        <v>5421</v>
      </c>
    </row>
    <row r="239" spans="2:3" hidden="1" outlineLevel="1" x14ac:dyDescent="0.45">
      <c r="B239" s="66">
        <v>0.83</v>
      </c>
      <c r="C239" s="64" cm="1">
        <f t="array" aca="1" ref="C239" ca="1">IF(ISNUMBER(_xll.VoseSimPercentile(Total,0.83)),_xll.VoseSimPercentile(Total,0.83),NA())</f>
        <v>5427</v>
      </c>
    </row>
    <row r="240" spans="2:3" hidden="1" outlineLevel="1" x14ac:dyDescent="0.45">
      <c r="B240" s="66">
        <v>0.84</v>
      </c>
      <c r="C240" s="64" cm="1">
        <f t="array" aca="1" ref="C240" ca="1">IF(ISNUMBER(_xll.VoseSimPercentile(Total,0.84)),_xll.VoseSimPercentile(Total,0.84),NA())</f>
        <v>5432</v>
      </c>
    </row>
    <row r="241" spans="2:3" hidden="1" outlineLevel="1" x14ac:dyDescent="0.45">
      <c r="B241" s="66">
        <v>0.85</v>
      </c>
      <c r="C241" s="64" cm="1">
        <f t="array" aca="1" ref="C241" ca="1">IF(ISNUMBER(_xll.VoseSimPercentile(Total,0.85)),_xll.VoseSimPercentile(Total,0.85),NA())</f>
        <v>5437</v>
      </c>
    </row>
    <row r="242" spans="2:3" hidden="1" outlineLevel="1" x14ac:dyDescent="0.45">
      <c r="B242" s="66">
        <v>0.86</v>
      </c>
      <c r="C242" s="64" cm="1">
        <f t="array" aca="1" ref="C242" ca="1">IF(ISNUMBER(_xll.VoseSimPercentile(Total,0.86)),_xll.VoseSimPercentile(Total,0.86),NA())</f>
        <v>5443</v>
      </c>
    </row>
    <row r="243" spans="2:3" hidden="1" outlineLevel="1" x14ac:dyDescent="0.45">
      <c r="B243" s="66">
        <v>0.87</v>
      </c>
      <c r="C243" s="64" cm="1">
        <f t="array" aca="1" ref="C243" ca="1">IF(ISNUMBER(_xll.VoseSimPercentile(Total,0.87)),_xll.VoseSimPercentile(Total,0.87),NA())</f>
        <v>5451</v>
      </c>
    </row>
    <row r="244" spans="2:3" hidden="1" outlineLevel="1" x14ac:dyDescent="0.45">
      <c r="B244" s="66">
        <v>0.88</v>
      </c>
      <c r="C244" s="64" cm="1">
        <f t="array" aca="1" ref="C244" ca="1">IF(ISNUMBER(_xll.VoseSimPercentile(Total,0.88)),_xll.VoseSimPercentile(Total,0.88),NA())</f>
        <v>5457</v>
      </c>
    </row>
    <row r="245" spans="2:3" hidden="1" outlineLevel="1" x14ac:dyDescent="0.45">
      <c r="B245" s="66">
        <v>0.89</v>
      </c>
      <c r="C245" s="64" cm="1">
        <f t="array" aca="1" ref="C245" ca="1">IF(ISNUMBER(_xll.VoseSimPercentile(Total,0.89)),_xll.VoseSimPercentile(Total,0.89),NA())</f>
        <v>5463</v>
      </c>
    </row>
    <row r="246" spans="2:3" hidden="1" outlineLevel="1" x14ac:dyDescent="0.45">
      <c r="B246" s="66">
        <v>0.9</v>
      </c>
      <c r="C246" s="64" cm="1">
        <f t="array" aca="1" ref="C246" ca="1">IF(ISNUMBER(_xll.VoseSimPercentile(Total,0.9)),_xll.VoseSimPercentile(Total,0.9),NA())</f>
        <v>5468</v>
      </c>
    </row>
    <row r="247" spans="2:3" hidden="1" outlineLevel="1" x14ac:dyDescent="0.45">
      <c r="B247" s="66">
        <v>0.91</v>
      </c>
      <c r="C247" s="64" cm="1">
        <f t="array" aca="1" ref="C247" ca="1">IF(ISNUMBER(_xll.VoseSimPercentile(Total,0.91)),_xll.VoseSimPercentile(Total,0.91),NA())</f>
        <v>5476</v>
      </c>
    </row>
    <row r="248" spans="2:3" hidden="1" outlineLevel="1" x14ac:dyDescent="0.45">
      <c r="B248" s="66">
        <v>0.92</v>
      </c>
      <c r="C248" s="64" cm="1">
        <f t="array" aca="1" ref="C248" ca="1">IF(ISNUMBER(_xll.VoseSimPercentile(Total,0.92)),_xll.VoseSimPercentile(Total,0.92),NA())</f>
        <v>5482</v>
      </c>
    </row>
    <row r="249" spans="2:3" hidden="1" outlineLevel="1" x14ac:dyDescent="0.45">
      <c r="B249" s="66">
        <v>0.93</v>
      </c>
      <c r="C249" s="64" cm="1">
        <f t="array" aca="1" ref="C249" ca="1">IF(ISNUMBER(_xll.VoseSimPercentile(Total,0.93)),_xll.VoseSimPercentile(Total,0.93),NA())</f>
        <v>5490</v>
      </c>
    </row>
    <row r="250" spans="2:3" hidden="1" outlineLevel="1" x14ac:dyDescent="0.45">
      <c r="B250" s="66">
        <v>0.94</v>
      </c>
      <c r="C250" s="64" cm="1">
        <f t="array" aca="1" ref="C250" ca="1">IF(ISNUMBER(_xll.VoseSimPercentile(Total,0.94)),_xll.VoseSimPercentile(Total,0.94),NA())</f>
        <v>5499</v>
      </c>
    </row>
    <row r="251" spans="2:3" hidden="1" outlineLevel="1" x14ac:dyDescent="0.45">
      <c r="B251" s="66">
        <v>0.95</v>
      </c>
      <c r="C251" s="64" cm="1">
        <f t="array" aca="1" ref="C251" ca="1">IF(ISNUMBER(_xll.VoseSimPercentile(Total,0.95)),_xll.VoseSimPercentile(Total,0.95),NA())</f>
        <v>5507</v>
      </c>
    </row>
    <row r="252" spans="2:3" hidden="1" outlineLevel="1" x14ac:dyDescent="0.45">
      <c r="B252" s="66">
        <v>0.96</v>
      </c>
      <c r="C252" s="64" cm="1">
        <f t="array" aca="1" ref="C252" ca="1">IF(ISNUMBER(_xll.VoseSimPercentile(Total,0.96)),_xll.VoseSimPercentile(Total,0.96),NA())</f>
        <v>5519</v>
      </c>
    </row>
    <row r="253" spans="2:3" hidden="1" outlineLevel="1" x14ac:dyDescent="0.45">
      <c r="B253" s="66">
        <v>0.97</v>
      </c>
      <c r="C253" s="64" cm="1">
        <f t="array" aca="1" ref="C253" ca="1">IF(ISNUMBER(_xll.VoseSimPercentile(Total,0.97)),_xll.VoseSimPercentile(Total,0.97),NA())</f>
        <v>5532</v>
      </c>
    </row>
    <row r="254" spans="2:3" hidden="1" outlineLevel="1" x14ac:dyDescent="0.45">
      <c r="B254" s="66">
        <v>0.98</v>
      </c>
      <c r="C254" s="64" cm="1">
        <f t="array" aca="1" ref="C254" ca="1">IF(ISNUMBER(_xll.VoseSimPercentile(Total,0.98)),_xll.VoseSimPercentile(Total,0.98),NA())</f>
        <v>5550</v>
      </c>
    </row>
    <row r="255" spans="2:3" hidden="1" outlineLevel="1" x14ac:dyDescent="0.45">
      <c r="B255" s="66">
        <v>0.99</v>
      </c>
      <c r="C255" s="64" cm="1">
        <f t="array" aca="1" ref="C255" ca="1">IF(ISNUMBER(_xll.VoseSimPercentile(Total,0.99)),_xll.VoseSimPercentile(Total,0.99),NA())</f>
        <v>5573</v>
      </c>
    </row>
    <row r="256" spans="2:3" hidden="1" outlineLevel="1" x14ac:dyDescent="0.45">
      <c r="B256" s="66">
        <v>0.995</v>
      </c>
      <c r="C256" s="64" cm="1">
        <f t="array" aca="1" ref="C256" ca="1">IF(ISNUMBER(_xll.VoseSimPercentile(Total,0.995)),_xll.VoseSimPercentile(Total,0.995),NA())</f>
        <v>5592</v>
      </c>
    </row>
    <row r="257" spans="2:7" hidden="1" outlineLevel="1" x14ac:dyDescent="0.45"/>
    <row r="258" spans="2:7" ht="18" hidden="1" customHeight="1" outlineLevel="1" x14ac:dyDescent="0.45">
      <c r="B258" s="23" t="s">
        <v>247</v>
      </c>
      <c r="C258" s="24" t="s">
        <v>248</v>
      </c>
      <c r="D258" s="24" t="s">
        <v>249</v>
      </c>
      <c r="E258" s="24" t="s">
        <v>250</v>
      </c>
      <c r="F258" s="24" t="s">
        <v>251</v>
      </c>
      <c r="G258" s="24" t="s">
        <v>252</v>
      </c>
    </row>
    <row r="259" spans="2:7" hidden="1" outlineLevel="1" x14ac:dyDescent="0.45">
      <c r="B259" s="67">
        <v>0</v>
      </c>
      <c r="C259" s="64">
        <f ca="1">IF(ISNUMBER($C$156),$C$156+($C$256-$C$156)*0/24,NA())</f>
        <v>4934</v>
      </c>
      <c r="D259" s="68">
        <f t="shared" ref="D259:D283" ca="1" si="2">IF(ISNUMBER(C259),MATCH(C259,$C$156:$C$256,1),NA())</f>
        <v>1</v>
      </c>
      <c r="E259" s="64">
        <f t="shared" ref="E259:E282" ca="1" si="3">IF(ISNUMBER(C259),(C259+C260)/2,NA())</f>
        <v>4947.7083333333339</v>
      </c>
      <c r="F259" s="66">
        <f t="shared" ref="F259:F282" ca="1" si="4">IF(ISNUMBER(G260),G260-G259,NA())</f>
        <v>6.0069444444445707E-3</v>
      </c>
      <c r="G259" s="66" cm="1">
        <f t="array" aca="1" ref="G259" ca="1">IF(ISNUMBER(D259),IF(D259&gt;=101,INDEX($B$156:$B$256,101),INDEX($B$156:$B$256,D259)+(C259-INDEX($C$156:$C$256,D259))/MAX(0.000000000001,INDEX($C$156:$C$256,D259+1)-INDEX($C$156:$C$256,D259))*(INDEX($B$156:$B$256,D259+1)-INDEX($B$156:$B$256,D259))),NA())</f>
        <v>5.0000000000000001E-3</v>
      </c>
    </row>
    <row r="260" spans="2:7" hidden="1" outlineLevel="1" x14ac:dyDescent="0.45">
      <c r="B260" s="67">
        <v>1</v>
      </c>
      <c r="C260" s="64">
        <f ca="1">IF(ISNUMBER($C$156),$C$156+($C$256-$C$156)*1/24,NA())</f>
        <v>4961.416666666667</v>
      </c>
      <c r="D260" s="68">
        <f t="shared" ca="1" si="2"/>
        <v>2</v>
      </c>
      <c r="E260" s="64">
        <f t="shared" ca="1" si="3"/>
        <v>4975.125</v>
      </c>
      <c r="F260" s="66">
        <f t="shared" ca="1" si="4"/>
        <v>1.2638888888888573E-2</v>
      </c>
      <c r="G260" s="66" cm="1">
        <f t="array" aca="1" ref="G260" ca="1">IF(ISNUMBER(D260),IF(D260&gt;=101,INDEX($B$156:$B$256,101),INDEX($B$156:$B$256,D260)+(C260-INDEX($C$156:$C$256,D260))/MAX(0.000000000001,INDEX($C$156:$C$256,D260+1)-INDEX($C$156:$C$256,D260))*(INDEX($B$156:$B$256,D260+1)-INDEX($B$156:$B$256,D260))),NA())</f>
        <v>1.1006944444444571E-2</v>
      </c>
    </row>
    <row r="261" spans="2:7" hidden="1" outlineLevel="1" x14ac:dyDescent="0.45">
      <c r="B261" s="67">
        <v>2</v>
      </c>
      <c r="C261" s="64">
        <f ca="1">IF(ISNUMBER($C$156),$C$156+($C$256-$C$156)*2/24,NA())</f>
        <v>4988.833333333333</v>
      </c>
      <c r="D261" s="68">
        <f t="shared" ca="1" si="2"/>
        <v>3</v>
      </c>
      <c r="E261" s="64">
        <f t="shared" ca="1" si="3"/>
        <v>5002.5416666666661</v>
      </c>
      <c r="F261" s="66">
        <f t="shared" ca="1" si="4"/>
        <v>2.2604166666666856E-2</v>
      </c>
      <c r="G261" s="66" cm="1">
        <f t="array" aca="1" ref="G261" ca="1">IF(ISNUMBER(D261),IF(D261&gt;=101,INDEX($B$156:$B$256,101),INDEX($B$156:$B$256,D261)+(C261-INDEX($C$156:$C$256,D261))/MAX(0.000000000001,INDEX($C$156:$C$256,D261+1)-INDEX($C$156:$C$256,D261))*(INDEX($B$156:$B$256,D261+1)-INDEX($B$156:$B$256,D261))),NA())</f>
        <v>2.3645833333333144E-2</v>
      </c>
    </row>
    <row r="262" spans="2:7" hidden="1" outlineLevel="1" x14ac:dyDescent="0.45">
      <c r="B262" s="67">
        <v>3</v>
      </c>
      <c r="C262" s="64">
        <f ca="1">IF(ISNUMBER($C$156),$C$156+($C$256-$C$156)*3/24,NA())</f>
        <v>5016.25</v>
      </c>
      <c r="D262" s="68">
        <f t="shared" ca="1" si="2"/>
        <v>5</v>
      </c>
      <c r="E262" s="64">
        <f t="shared" ca="1" si="3"/>
        <v>5029.9583333333339</v>
      </c>
      <c r="F262" s="66">
        <f t="shared" ca="1" si="4"/>
        <v>3.8194444444444947E-2</v>
      </c>
      <c r="G262" s="66" cm="1">
        <f t="array" aca="1" ref="G262" ca="1">IF(ISNUMBER(D262),IF(D262&gt;=101,INDEX($B$156:$B$256,101),INDEX($B$156:$B$256,D262)+(C262-INDEX($C$156:$C$256,D262))/MAX(0.000000000001,INDEX($C$156:$C$256,D262+1)-INDEX($C$156:$C$256,D262))*(INDEX($B$156:$B$256,D262+1)-INDEX($B$156:$B$256,D262))),NA())</f>
        <v>4.6249999999999999E-2</v>
      </c>
    </row>
    <row r="263" spans="2:7" hidden="1" outlineLevel="1" x14ac:dyDescent="0.45">
      <c r="B263" s="67">
        <v>4</v>
      </c>
      <c r="C263" s="64">
        <f ca="1">IF(ISNUMBER($C$156),$C$156+($C$256-$C$156)*4/24,NA())</f>
        <v>5043.666666666667</v>
      </c>
      <c r="D263" s="68">
        <f t="shared" ca="1" si="2"/>
        <v>9</v>
      </c>
      <c r="E263" s="64">
        <f t="shared" ca="1" si="3"/>
        <v>5057.375</v>
      </c>
      <c r="F263" s="66">
        <f t="shared" ca="1" si="4"/>
        <v>4.9722222222221127E-2</v>
      </c>
      <c r="G263" s="66" cm="1">
        <f t="array" aca="1" ref="G263" ca="1">IF(ISNUMBER(D263),IF(D263&gt;=101,INDEX($B$156:$B$256,101),INDEX($B$156:$B$256,D263)+(C263-INDEX($C$156:$C$256,D263))/MAX(0.000000000001,INDEX($C$156:$C$256,D263+1)-INDEX($C$156:$C$256,D263))*(INDEX($B$156:$B$256,D263+1)-INDEX($B$156:$B$256,D263))),NA())</f>
        <v>8.4444444444444947E-2</v>
      </c>
    </row>
    <row r="264" spans="2:7" hidden="1" outlineLevel="1" x14ac:dyDescent="0.45">
      <c r="B264" s="67">
        <v>5</v>
      </c>
      <c r="C264" s="64">
        <f ca="1">IF(ISNUMBER($C$156),$C$156+($C$256-$C$156)*5/24,NA())</f>
        <v>5071.083333333333</v>
      </c>
      <c r="D264" s="68">
        <f t="shared" ca="1" si="2"/>
        <v>14</v>
      </c>
      <c r="E264" s="64">
        <f t="shared" ca="1" si="3"/>
        <v>5084.7916666666661</v>
      </c>
      <c r="F264" s="66">
        <f t="shared" ca="1" si="4"/>
        <v>6.416666666666726E-2</v>
      </c>
      <c r="G264" s="66" cm="1">
        <f t="array" aca="1" ref="G264" ca="1">IF(ISNUMBER(D264),IF(D264&gt;=101,INDEX($B$156:$B$256,101),INDEX($B$156:$B$256,D264)+(C264-INDEX($C$156:$C$256,D264))/MAX(0.000000000001,INDEX($C$156:$C$256,D264+1)-INDEX($C$156:$C$256,D264))*(INDEX($B$156:$B$256,D264+1)-INDEX($B$156:$B$256,D264))),NA())</f>
        <v>0.13416666666666607</v>
      </c>
    </row>
    <row r="265" spans="2:7" hidden="1" outlineLevel="1" x14ac:dyDescent="0.45">
      <c r="B265" s="67">
        <v>6</v>
      </c>
      <c r="C265" s="64">
        <f ca="1">IF(ISNUMBER($C$156),$C$156+($C$256-$C$156)*6/24,NA())</f>
        <v>5098.5</v>
      </c>
      <c r="D265" s="68">
        <f t="shared" ca="1" si="2"/>
        <v>20</v>
      </c>
      <c r="E265" s="64">
        <f t="shared" ca="1" si="3"/>
        <v>5112.2083333333339</v>
      </c>
      <c r="F265" s="66">
        <f t="shared" ca="1" si="4"/>
        <v>7.64583333333341E-2</v>
      </c>
      <c r="G265" s="66" cm="1">
        <f t="array" aca="1" ref="G265" ca="1">IF(ISNUMBER(D265),IF(D265&gt;=101,INDEX($B$156:$B$256,101),INDEX($B$156:$B$256,D265)+(C265-INDEX($C$156:$C$256,D265))/MAX(0.000000000001,INDEX($C$156:$C$256,D265+1)-INDEX($C$156:$C$256,D265))*(INDEX($B$156:$B$256,D265+1)-INDEX($B$156:$B$256,D265))),NA())</f>
        <v>0.19833333333333333</v>
      </c>
    </row>
    <row r="266" spans="2:7" hidden="1" outlineLevel="1" x14ac:dyDescent="0.45">
      <c r="B266" s="67">
        <v>7</v>
      </c>
      <c r="C266" s="64">
        <f ca="1">IF(ISNUMBER($C$156),$C$156+($C$256-$C$156)*7/24,NA())</f>
        <v>5125.916666666667</v>
      </c>
      <c r="D266" s="68">
        <f t="shared" ca="1" si="2"/>
        <v>28</v>
      </c>
      <c r="E266" s="64">
        <f t="shared" ca="1" si="3"/>
        <v>5139.625</v>
      </c>
      <c r="F266" s="66">
        <f t="shared" ca="1" si="4"/>
        <v>8.2986111111109317E-2</v>
      </c>
      <c r="G266" s="66" cm="1">
        <f t="array" aca="1" ref="G266" ca="1">IF(ISNUMBER(D266),IF(D266&gt;=101,INDEX($B$156:$B$256,101),INDEX($B$156:$B$256,D266)+(C266-INDEX($C$156:$C$256,D266))/MAX(0.000000000001,INDEX($C$156:$C$256,D266+1)-INDEX($C$156:$C$256,D266))*(INDEX($B$156:$B$256,D266+1)-INDEX($B$156:$B$256,D266))),NA())</f>
        <v>0.27479166666666743</v>
      </c>
    </row>
    <row r="267" spans="2:7" hidden="1" outlineLevel="1" x14ac:dyDescent="0.45">
      <c r="B267" s="67">
        <v>8</v>
      </c>
      <c r="C267" s="64">
        <f ca="1">IF(ISNUMBER($C$156),$C$156+($C$256-$C$156)*8/24,NA())</f>
        <v>5153.333333333333</v>
      </c>
      <c r="D267" s="68">
        <f t="shared" ca="1" si="2"/>
        <v>36</v>
      </c>
      <c r="E267" s="64">
        <f t="shared" ca="1" si="3"/>
        <v>5167.0416666666661</v>
      </c>
      <c r="F267" s="66">
        <f t="shared" ca="1" si="4"/>
        <v>8.4722222222223253E-2</v>
      </c>
      <c r="G267" s="66" cm="1">
        <f t="array" aca="1" ref="G267" ca="1">IF(ISNUMBER(D267),IF(D267&gt;=101,INDEX($B$156:$B$256,101),INDEX($B$156:$B$256,D267)+(C267-INDEX($C$156:$C$256,D267))/MAX(0.000000000001,INDEX($C$156:$C$256,D267+1)-INDEX($C$156:$C$256,D267))*(INDEX($B$156:$B$256,D267+1)-INDEX($B$156:$B$256,D267))),NA())</f>
        <v>0.35777777777777675</v>
      </c>
    </row>
    <row r="268" spans="2:7" hidden="1" outlineLevel="1" x14ac:dyDescent="0.45">
      <c r="B268" s="67">
        <v>9</v>
      </c>
      <c r="C268" s="64">
        <f ca="1">IF(ISNUMBER($C$156),$C$156+($C$256-$C$156)*9/24,NA())</f>
        <v>5180.75</v>
      </c>
      <c r="D268" s="68">
        <f t="shared" ca="1" si="2"/>
        <v>45</v>
      </c>
      <c r="E268" s="64">
        <f t="shared" ca="1" si="3"/>
        <v>5194.4583333333339</v>
      </c>
      <c r="F268" s="66">
        <f t="shared" ca="1" si="4"/>
        <v>7.041666666666746E-2</v>
      </c>
      <c r="G268" s="66" cm="1">
        <f t="array" aca="1" ref="G268" ca="1">IF(ISNUMBER(D268),IF(D268&gt;=101,INDEX($B$156:$B$256,101),INDEX($B$156:$B$256,D268)+(C268-INDEX($C$156:$C$256,D268))/MAX(0.000000000001,INDEX($C$156:$C$256,D268+1)-INDEX($C$156:$C$256,D268))*(INDEX($B$156:$B$256,D268+1)-INDEX($B$156:$B$256,D268))),NA())</f>
        <v>0.4425</v>
      </c>
    </row>
    <row r="269" spans="2:7" hidden="1" outlineLevel="1" x14ac:dyDescent="0.45">
      <c r="B269" s="67">
        <v>10</v>
      </c>
      <c r="C269" s="64">
        <f ca="1">IF(ISNUMBER($C$156),$C$156+($C$256-$C$156)*10/24,NA())</f>
        <v>5208.166666666667</v>
      </c>
      <c r="D269" s="68">
        <f t="shared" ca="1" si="2"/>
        <v>52</v>
      </c>
      <c r="E269" s="64">
        <f t="shared" ca="1" si="3"/>
        <v>5221.875</v>
      </c>
      <c r="F269" s="66">
        <f t="shared" ca="1" si="4"/>
        <v>6.4249999999998586E-2</v>
      </c>
      <c r="G269" s="66" cm="1">
        <f t="array" aca="1" ref="G269" ca="1">IF(ISNUMBER(D269),IF(D269&gt;=101,INDEX($B$156:$B$256,101),INDEX($B$156:$B$256,D269)+(C269-INDEX($C$156:$C$256,D269))/MAX(0.000000000001,INDEX($C$156:$C$256,D269+1)-INDEX($C$156:$C$256,D269))*(INDEX($B$156:$B$256,D269+1)-INDEX($B$156:$B$256,D269))),NA())</f>
        <v>0.51291666666666746</v>
      </c>
    </row>
    <row r="270" spans="2:7" hidden="1" outlineLevel="1" x14ac:dyDescent="0.45">
      <c r="B270" s="67">
        <v>11</v>
      </c>
      <c r="C270" s="64">
        <f ca="1">IF(ISNUMBER($C$156),$C$156+($C$256-$C$156)*11/24,NA())</f>
        <v>5235.583333333333</v>
      </c>
      <c r="D270" s="68">
        <f t="shared" ca="1" si="2"/>
        <v>58</v>
      </c>
      <c r="E270" s="64">
        <f t="shared" ca="1" si="3"/>
        <v>5249.2916666666661</v>
      </c>
      <c r="F270" s="66">
        <f t="shared" ca="1" si="4"/>
        <v>5.42619047619054E-2</v>
      </c>
      <c r="G270" s="66" cm="1">
        <f t="array" aca="1" ref="G270" ca="1">IF(ISNUMBER(D270),IF(D270&gt;=101,INDEX($B$156:$B$256,101),INDEX($B$156:$B$256,D270)+(C270-INDEX($C$156:$C$256,D270))/MAX(0.000000000001,INDEX($C$156:$C$256,D270+1)-INDEX($C$156:$C$256,D270))*(INDEX($B$156:$B$256,D270+1)-INDEX($B$156:$B$256,D270))),NA())</f>
        <v>0.57716666666666605</v>
      </c>
    </row>
    <row r="271" spans="2:7" hidden="1" outlineLevel="1" x14ac:dyDescent="0.45">
      <c r="B271" s="67">
        <v>12</v>
      </c>
      <c r="C271" s="64">
        <f ca="1">IF(ISNUMBER($C$156),$C$156+($C$256-$C$156)*12/24,NA())</f>
        <v>5263</v>
      </c>
      <c r="D271" s="68">
        <f t="shared" ca="1" si="2"/>
        <v>64</v>
      </c>
      <c r="E271" s="64">
        <f t="shared" ca="1" si="3"/>
        <v>5276.7083333333339</v>
      </c>
      <c r="F271" s="66">
        <f t="shared" ca="1" si="4"/>
        <v>4.0145502645502984E-2</v>
      </c>
      <c r="G271" s="66" cm="1">
        <f t="array" aca="1" ref="G271" ca="1">IF(ISNUMBER(D271),IF(D271&gt;=101,INDEX($B$156:$B$256,101),INDEX($B$156:$B$256,D271)+(C271-INDEX($C$156:$C$256,D271))/MAX(0.000000000001,INDEX($C$156:$C$256,D271+1)-INDEX($C$156:$C$256,D271))*(INDEX($B$156:$B$256,D271+1)-INDEX($B$156:$B$256,D271))),NA())</f>
        <v>0.63142857142857145</v>
      </c>
    </row>
    <row r="272" spans="2:7" hidden="1" outlineLevel="1" x14ac:dyDescent="0.45">
      <c r="B272" s="67">
        <v>13</v>
      </c>
      <c r="C272" s="64">
        <f ca="1">IF(ISNUMBER($C$156),$C$156+($C$256-$C$156)*13/24,NA())</f>
        <v>5290.416666666667</v>
      </c>
      <c r="D272" s="68">
        <f t="shared" ca="1" si="2"/>
        <v>68</v>
      </c>
      <c r="E272" s="64">
        <f t="shared" ca="1" si="3"/>
        <v>5304.125</v>
      </c>
      <c r="F272" s="66">
        <f t="shared" ca="1" si="4"/>
        <v>2.9120370370369741E-2</v>
      </c>
      <c r="G272" s="66" cm="1">
        <f t="array" aca="1" ref="G272" ca="1">IF(ISNUMBER(D272),IF(D272&gt;=101,INDEX($B$156:$B$256,101),INDEX($B$156:$B$256,D272)+(C272-INDEX($C$156:$C$256,D272))/MAX(0.000000000001,INDEX($C$156:$C$256,D272+1)-INDEX($C$156:$C$256,D272))*(INDEX($B$156:$B$256,D272+1)-INDEX($B$156:$B$256,D272))),NA())</f>
        <v>0.67157407407407443</v>
      </c>
    </row>
    <row r="273" spans="2:7" hidden="1" outlineLevel="1" x14ac:dyDescent="0.45">
      <c r="B273" s="67">
        <v>14</v>
      </c>
      <c r="C273" s="64">
        <f ca="1">IF(ISNUMBER($C$156),$C$156+($C$256-$C$156)*14/24,NA())</f>
        <v>5317.833333333333</v>
      </c>
      <c r="D273" s="68">
        <f t="shared" ca="1" si="2"/>
        <v>71</v>
      </c>
      <c r="E273" s="64">
        <f t="shared" ca="1" si="3"/>
        <v>5331.5416666666661</v>
      </c>
      <c r="F273" s="66">
        <f t="shared" ca="1" si="4"/>
        <v>2.498737373737403E-2</v>
      </c>
      <c r="G273" s="66" cm="1">
        <f t="array" aca="1" ref="G273" ca="1">IF(ISNUMBER(D273),IF(D273&gt;=101,INDEX($B$156:$B$256,101),INDEX($B$156:$B$256,D273)+(C273-INDEX($C$156:$C$256,D273))/MAX(0.000000000001,INDEX($C$156:$C$256,D273+1)-INDEX($C$156:$C$256,D273))*(INDEX($B$156:$B$256,D273+1)-INDEX($B$156:$B$256,D273))),NA())</f>
        <v>0.70069444444444418</v>
      </c>
    </row>
    <row r="274" spans="2:7" hidden="1" outlineLevel="1" x14ac:dyDescent="0.45">
      <c r="B274" s="67">
        <v>15</v>
      </c>
      <c r="C274" s="64">
        <f ca="1">IF(ISNUMBER($C$156),$C$156+($C$256-$C$156)*15/24,NA())</f>
        <v>5345.25</v>
      </c>
      <c r="D274" s="68">
        <f t="shared" ca="1" si="2"/>
        <v>73</v>
      </c>
      <c r="E274" s="64">
        <f t="shared" ca="1" si="3"/>
        <v>5358.9583333333339</v>
      </c>
      <c r="F274" s="66">
        <f t="shared" ca="1" si="4"/>
        <v>2.6984848484848722E-2</v>
      </c>
      <c r="G274" s="66" cm="1">
        <f t="array" aca="1" ref="G274" ca="1">IF(ISNUMBER(D274),IF(D274&gt;=101,INDEX($B$156:$B$256,101),INDEX($B$156:$B$256,D274)+(C274-INDEX($C$156:$C$256,D274))/MAX(0.000000000001,INDEX($C$156:$C$256,D274+1)-INDEX($C$156:$C$256,D274))*(INDEX($B$156:$B$256,D274+1)-INDEX($B$156:$B$256,D274))),NA())</f>
        <v>0.72568181818181821</v>
      </c>
    </row>
    <row r="275" spans="2:7" hidden="1" outlineLevel="1" x14ac:dyDescent="0.45">
      <c r="B275" s="67">
        <v>16</v>
      </c>
      <c r="C275" s="64">
        <f ca="1">IF(ISNUMBER($C$156),$C$156+($C$256-$C$156)*16/24,NA())</f>
        <v>5372.666666666667</v>
      </c>
      <c r="D275" s="68">
        <f t="shared" ca="1" si="2"/>
        <v>76</v>
      </c>
      <c r="E275" s="64">
        <f t="shared" ca="1" si="3"/>
        <v>5386.375</v>
      </c>
      <c r="F275" s="66">
        <f t="shared" ca="1" si="4"/>
        <v>3.4595238095237457E-2</v>
      </c>
      <c r="G275" s="66" cm="1">
        <f t="array" aca="1" ref="G275" ca="1">IF(ISNUMBER(D275),IF(D275&gt;=101,INDEX($B$156:$B$256,101),INDEX($B$156:$B$256,D275)+(C275-INDEX($C$156:$C$256,D275))/MAX(0.000000000001,INDEX($C$156:$C$256,D275+1)-INDEX($C$156:$C$256,D275))*(INDEX($B$156:$B$256,D275+1)-INDEX($B$156:$B$256,D275))),NA())</f>
        <v>0.75266666666666693</v>
      </c>
    </row>
    <row r="276" spans="2:7" hidden="1" outlineLevel="1" x14ac:dyDescent="0.45">
      <c r="B276" s="67">
        <v>17</v>
      </c>
      <c r="C276" s="64">
        <f ca="1">IF(ISNUMBER($C$156),$C$156+($C$256-$C$156)*17/24,NA())</f>
        <v>5400.083333333333</v>
      </c>
      <c r="D276" s="68">
        <f t="shared" ca="1" si="2"/>
        <v>79</v>
      </c>
      <c r="E276" s="64">
        <f t="shared" ca="1" si="3"/>
        <v>5413.7916666666661</v>
      </c>
      <c r="F276" s="66">
        <f t="shared" ca="1" si="4"/>
        <v>4.3738095238095576E-2</v>
      </c>
      <c r="G276" s="66" cm="1">
        <f t="array" aca="1" ref="G276" ca="1">IF(ISNUMBER(D276),IF(D276&gt;=101,INDEX($B$156:$B$256,101),INDEX($B$156:$B$256,D276)+(C276-INDEX($C$156:$C$256,D276))/MAX(0.000000000001,INDEX($C$156:$C$256,D276+1)-INDEX($C$156:$C$256,D276))*(INDEX($B$156:$B$256,D276+1)-INDEX($B$156:$B$256,D276))),NA())</f>
        <v>0.78726190476190439</v>
      </c>
    </row>
    <row r="277" spans="2:7" hidden="1" outlineLevel="1" x14ac:dyDescent="0.45">
      <c r="B277" s="67">
        <v>18</v>
      </c>
      <c r="C277" s="64">
        <f ca="1">IF(ISNUMBER($C$156),$C$156+($C$256-$C$156)*18/24,NA())</f>
        <v>5427.5</v>
      </c>
      <c r="D277" s="68">
        <f t="shared" ca="1" si="2"/>
        <v>84</v>
      </c>
      <c r="E277" s="64">
        <f t="shared" ca="1" si="3"/>
        <v>5441.2083333333339</v>
      </c>
      <c r="F277" s="66">
        <f t="shared" ca="1" si="4"/>
        <v>4.5527777777778278E-2</v>
      </c>
      <c r="G277" s="66" cm="1">
        <f t="array" aca="1" ref="G277" ca="1">IF(ISNUMBER(D277),IF(D277&gt;=101,INDEX($B$156:$B$256,101),INDEX($B$156:$B$256,D277)+(C277-INDEX($C$156:$C$256,D277))/MAX(0.000000000001,INDEX($C$156:$C$256,D277+1)-INDEX($C$156:$C$256,D277))*(INDEX($B$156:$B$256,D277+1)-INDEX($B$156:$B$256,D277))),NA())</f>
        <v>0.83099999999999996</v>
      </c>
    </row>
    <row r="278" spans="2:7" hidden="1" outlineLevel="1" x14ac:dyDescent="0.45">
      <c r="B278" s="67">
        <v>19</v>
      </c>
      <c r="C278" s="64">
        <f ca="1">IF(ISNUMBER($C$156),$C$156+($C$256-$C$156)*19/24,NA())</f>
        <v>5454.916666666667</v>
      </c>
      <c r="D278" s="68">
        <f t="shared" ca="1" si="2"/>
        <v>88</v>
      </c>
      <c r="E278" s="64">
        <f t="shared" ca="1" si="3"/>
        <v>5468.625</v>
      </c>
      <c r="F278" s="66">
        <f t="shared" ca="1" si="4"/>
        <v>4.3888888888888089E-2</v>
      </c>
      <c r="G278" s="66" cm="1">
        <f t="array" aca="1" ref="G278" ca="1">IF(ISNUMBER(D278),IF(D278&gt;=101,INDEX($B$156:$B$256,101),INDEX($B$156:$B$256,D278)+(C278-INDEX($C$156:$C$256,D278))/MAX(0.000000000001,INDEX($C$156:$C$256,D278+1)-INDEX($C$156:$C$256,D278))*(INDEX($B$156:$B$256,D278+1)-INDEX($B$156:$B$256,D278))),NA())</f>
        <v>0.87652777777777824</v>
      </c>
    </row>
    <row r="279" spans="2:7" hidden="1" outlineLevel="1" x14ac:dyDescent="0.45">
      <c r="B279" s="67">
        <v>20</v>
      </c>
      <c r="C279" s="64">
        <f ca="1">IF(ISNUMBER($C$156),$C$156+($C$256-$C$156)*20/24,NA())</f>
        <v>5482.333333333333</v>
      </c>
      <c r="D279" s="68">
        <f t="shared" ca="1" si="2"/>
        <v>93</v>
      </c>
      <c r="E279" s="64">
        <f t="shared" ca="1" si="3"/>
        <v>5496.0416666666661</v>
      </c>
      <c r="F279" s="66">
        <f t="shared" ca="1" si="4"/>
        <v>3.187500000000032E-2</v>
      </c>
      <c r="G279" s="66" cm="1">
        <f t="array" aca="1" ref="G279" ca="1">IF(ISNUMBER(D279),IF(D279&gt;=101,INDEX($B$156:$B$256,101),INDEX($B$156:$B$256,D279)+(C279-INDEX($C$156:$C$256,D279))/MAX(0.000000000001,INDEX($C$156:$C$256,D279+1)-INDEX($C$156:$C$256,D279))*(INDEX($B$156:$B$256,D279+1)-INDEX($B$156:$B$256,D279))),NA())</f>
        <v>0.92041666666666633</v>
      </c>
    </row>
    <row r="280" spans="2:7" hidden="1" outlineLevel="1" x14ac:dyDescent="0.45">
      <c r="B280" s="67">
        <v>21</v>
      </c>
      <c r="C280" s="64">
        <f ca="1">IF(ISNUMBER($C$156),$C$156+($C$256-$C$156)*21/24,NA())</f>
        <v>5509.75</v>
      </c>
      <c r="D280" s="68">
        <f t="shared" ca="1" si="2"/>
        <v>96</v>
      </c>
      <c r="E280" s="64">
        <f t="shared" ca="1" si="3"/>
        <v>5523.4583333333339</v>
      </c>
      <c r="F280" s="66">
        <f t="shared" ca="1" si="4"/>
        <v>2.0578703703703849E-2</v>
      </c>
      <c r="G280" s="66" cm="1">
        <f t="array" aca="1" ref="G280" ca="1">IF(ISNUMBER(D280),IF(D280&gt;=101,INDEX($B$156:$B$256,101),INDEX($B$156:$B$256,D280)+(C280-INDEX($C$156:$C$256,D280))/MAX(0.000000000001,INDEX($C$156:$C$256,D280+1)-INDEX($C$156:$C$256,D280))*(INDEX($B$156:$B$256,D280+1)-INDEX($B$156:$B$256,D280))),NA())</f>
        <v>0.95229166666666665</v>
      </c>
    </row>
    <row r="281" spans="2:7" hidden="1" outlineLevel="1" x14ac:dyDescent="0.45">
      <c r="B281" s="67">
        <v>22</v>
      </c>
      <c r="C281" s="64">
        <f ca="1">IF(ISNUMBER($C$156),$C$156+($C$256-$C$156)*22/24,NA())</f>
        <v>5537.166666666667</v>
      </c>
      <c r="D281" s="68">
        <f t="shared" ca="1" si="2"/>
        <v>98</v>
      </c>
      <c r="E281" s="64">
        <f t="shared" ca="1" si="3"/>
        <v>5550.875</v>
      </c>
      <c r="F281" s="66">
        <f t="shared" ca="1" si="4"/>
        <v>1.3470209339774275E-2</v>
      </c>
      <c r="G281" s="66" cm="1">
        <f t="array" aca="1" ref="G281" ca="1">IF(ISNUMBER(D281),IF(D281&gt;=101,INDEX($B$156:$B$256,101),INDEX($B$156:$B$256,D281)+(C281-INDEX($C$156:$C$256,D281))/MAX(0.000000000001,INDEX($C$156:$C$256,D281+1)-INDEX($C$156:$C$256,D281))*(INDEX($B$156:$B$256,D281+1)-INDEX($B$156:$B$256,D281))),NA())</f>
        <v>0.9728703703703705</v>
      </c>
    </row>
    <row r="282" spans="2:7" hidden="1" outlineLevel="1" x14ac:dyDescent="0.45">
      <c r="B282" s="67">
        <v>23</v>
      </c>
      <c r="C282" s="64">
        <f ca="1">IF(ISNUMBER($C$156),$C$156+($C$256-$C$156)*23/24,NA())</f>
        <v>5564.583333333333</v>
      </c>
      <c r="D282" s="68">
        <f t="shared" ca="1" si="2"/>
        <v>99</v>
      </c>
      <c r="E282" s="64">
        <f t="shared" ca="1" si="3"/>
        <v>5578.2916666666661</v>
      </c>
      <c r="F282" s="66">
        <f t="shared" ca="1" si="4"/>
        <v>8.6594202898552242E-3</v>
      </c>
      <c r="G282" s="66" cm="1">
        <f t="array" aca="1" ref="G282" ca="1">IF(ISNUMBER(D282),IF(D282&gt;=101,INDEX($B$156:$B$256,101),INDEX($B$156:$B$256,D282)+(C282-INDEX($C$156:$C$256,D282))/MAX(0.000000000001,INDEX($C$156:$C$256,D282+1)-INDEX($C$156:$C$256,D282))*(INDEX($B$156:$B$256,D282+1)-INDEX($B$156:$B$256,D282))),NA())</f>
        <v>0.98634057971014477</v>
      </c>
    </row>
    <row r="283" spans="2:7" hidden="1" outlineLevel="1" x14ac:dyDescent="0.45">
      <c r="B283" s="67">
        <v>24</v>
      </c>
      <c r="C283" s="64">
        <f ca="1">IF(ISNUMBER($C$156),$C$156+($C$256-$C$156)*24/24,NA())</f>
        <v>5592</v>
      </c>
      <c r="D283" s="68">
        <f t="shared" ca="1" si="2"/>
        <v>101</v>
      </c>
      <c r="G283" s="66" cm="1">
        <f t="array" aca="1" ref="G283" ca="1">IF(ISNUMBER(D283),IF(D283&gt;=101,INDEX($B$156:$B$256,101),INDEX($B$156:$B$256,D283)+(C283-INDEX($C$156:$C$256,D283))/MAX(0.000000000001,INDEX($C$156:$C$256,D283+1)-INDEX($C$156:$C$256,D283))*(INDEX($B$156:$B$256,D283+1)-INDEX($B$156:$B$256,D283))),NA())</f>
        <v>0.995</v>
      </c>
    </row>
  </sheetData>
  <mergeCells count="4">
    <mergeCell ref="B44:G44"/>
    <mergeCell ref="B43:G43"/>
    <mergeCell ref="B42:G42"/>
    <mergeCell ref="B41:G41"/>
  </mergeCells>
  <conditionalFormatting sqref="B7">
    <cfRule type="expression" dxfId="4" priority="2">
      <formula>LEFT($B$7,1)="✗"</formula>
    </cfRule>
  </conditionalFormatting>
  <conditionalFormatting sqref="B6:G6">
    <cfRule type="expression" dxfId="3" priority="1">
      <formula>LEFT($B$6,1)&lt;&gt;"✔"</formula>
    </cfRule>
  </conditionalFormatting>
  <conditionalFormatting sqref="C102:F153">
    <cfRule type="expression" dxfId="2" priority="4">
      <formula>ISNA(C102)</formula>
    </cfRule>
  </conditionalFormatting>
  <conditionalFormatting sqref="C156:G283">
    <cfRule type="expression" dxfId="1" priority="5">
      <formula>ISNA($C$156)</formula>
    </cfRule>
  </conditionalFormatting>
  <conditionalFormatting sqref="D50:D99">
    <cfRule type="expression" dxfId="0" priority="3">
      <formula>ISNA(D50)</formula>
    </cfRule>
  </conditionalFormatting>
  <hyperlinks>
    <hyperlink ref="B4" location="'Weeks'!A1" display="◂  Week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07935-8D35-4A06-9917-1A193CC9E261}">
  <dimension ref="A1:B1"/>
  <sheetViews>
    <sheetView workbookViewId="0"/>
  </sheetViews>
  <sheetFormatPr defaultRowHeight="14.25" x14ac:dyDescent="0.45"/>
  <sheetData>
    <row r="1" spans="1:2" x14ac:dyDescent="0.45">
      <c r="A1" s="73" t="s">
        <v>253</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6BA21-C398-49BF-8274-C771574B2E0D}">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F1108-173F-4CC0-9FEE-F6A08462241E}">
  <dimension ref="B3:B552"/>
  <sheetViews>
    <sheetView workbookViewId="0"/>
  </sheetViews>
  <sheetFormatPr defaultRowHeight="14.25" x14ac:dyDescent="0.45"/>
  <sheetData>
    <row r="3" spans="2:2" x14ac:dyDescent="0.45">
      <c r="B3">
        <v>33</v>
      </c>
    </row>
    <row r="4" spans="2:2" x14ac:dyDescent="0.45">
      <c r="B4">
        <v>98</v>
      </c>
    </row>
    <row r="5" spans="2:2" x14ac:dyDescent="0.45">
      <c r="B5">
        <v>214</v>
      </c>
    </row>
    <row r="6" spans="2:2" x14ac:dyDescent="0.45">
      <c r="B6">
        <v>292</v>
      </c>
    </row>
    <row r="7" spans="2:2" x14ac:dyDescent="0.45">
      <c r="B7">
        <v>342</v>
      </c>
    </row>
    <row r="8" spans="2:2" x14ac:dyDescent="0.45">
      <c r="B8">
        <v>353</v>
      </c>
    </row>
    <row r="9" spans="2:2" x14ac:dyDescent="0.45">
      <c r="B9">
        <v>307</v>
      </c>
    </row>
    <row r="10" spans="2:2" x14ac:dyDescent="0.45">
      <c r="B10">
        <v>228</v>
      </c>
    </row>
    <row r="11" spans="2:2" x14ac:dyDescent="0.45">
      <c r="B11">
        <v>117</v>
      </c>
    </row>
    <row r="12" spans="2:2" x14ac:dyDescent="0.45">
      <c r="B12">
        <v>16</v>
      </c>
    </row>
    <row r="13" spans="2:2" x14ac:dyDescent="0.45">
      <c r="B13">
        <v>4</v>
      </c>
    </row>
    <row r="14" spans="2:2" x14ac:dyDescent="0.45">
      <c r="B14">
        <v>18</v>
      </c>
    </row>
    <row r="15" spans="2:2" x14ac:dyDescent="0.45">
      <c r="B15">
        <v>112</v>
      </c>
    </row>
    <row r="16" spans="2:2" x14ac:dyDescent="0.45">
      <c r="B16">
        <v>348</v>
      </c>
    </row>
    <row r="17" spans="2:2" x14ac:dyDescent="0.45">
      <c r="B17">
        <v>587</v>
      </c>
    </row>
    <row r="18" spans="2:2" x14ac:dyDescent="0.45">
      <c r="B18">
        <v>515</v>
      </c>
    </row>
    <row r="19" spans="2:2" x14ac:dyDescent="0.45">
      <c r="B19">
        <v>287</v>
      </c>
    </row>
    <row r="20" spans="2:2" x14ac:dyDescent="0.45">
      <c r="B20">
        <v>103</v>
      </c>
    </row>
    <row r="21" spans="2:2" x14ac:dyDescent="0.45">
      <c r="B21">
        <v>20</v>
      </c>
    </row>
    <row r="22" spans="2:2" x14ac:dyDescent="0.45">
      <c r="B22">
        <v>6</v>
      </c>
    </row>
    <row r="23" spans="2:2" x14ac:dyDescent="0.45">
      <c r="B23">
        <v>4</v>
      </c>
    </row>
    <row r="24" spans="2:2" x14ac:dyDescent="0.45">
      <c r="B24">
        <v>12</v>
      </c>
    </row>
    <row r="25" spans="2:2" x14ac:dyDescent="0.45">
      <c r="B25">
        <v>92</v>
      </c>
    </row>
    <row r="26" spans="2:2" x14ac:dyDescent="0.45">
      <c r="B26">
        <v>296</v>
      </c>
    </row>
    <row r="27" spans="2:2" x14ac:dyDescent="0.45">
      <c r="B27">
        <v>559</v>
      </c>
    </row>
    <row r="28" spans="2:2" x14ac:dyDescent="0.45">
      <c r="B28">
        <v>529</v>
      </c>
    </row>
    <row r="29" spans="2:2" x14ac:dyDescent="0.45">
      <c r="B29">
        <v>358</v>
      </c>
    </row>
    <row r="30" spans="2:2" x14ac:dyDescent="0.45">
      <c r="B30">
        <v>119</v>
      </c>
    </row>
    <row r="31" spans="2:2" x14ac:dyDescent="0.45">
      <c r="B31">
        <v>24</v>
      </c>
    </row>
    <row r="32" spans="2:2" x14ac:dyDescent="0.45">
      <c r="B32">
        <v>7</v>
      </c>
    </row>
    <row r="33" spans="2:2" x14ac:dyDescent="0.45">
      <c r="B33">
        <v>2</v>
      </c>
    </row>
    <row r="34" spans="2:2" x14ac:dyDescent="0.45">
      <c r="B34">
        <v>12</v>
      </c>
    </row>
    <row r="35" spans="2:2" x14ac:dyDescent="0.45">
      <c r="B35">
        <v>80</v>
      </c>
    </row>
    <row r="36" spans="2:2" x14ac:dyDescent="0.45">
      <c r="B36">
        <v>305</v>
      </c>
    </row>
    <row r="37" spans="2:2" x14ac:dyDescent="0.45">
      <c r="B37">
        <v>550</v>
      </c>
    </row>
    <row r="38" spans="2:2" x14ac:dyDescent="0.45">
      <c r="B38">
        <v>579</v>
      </c>
    </row>
    <row r="39" spans="2:2" x14ac:dyDescent="0.45">
      <c r="B39">
        <v>349</v>
      </c>
    </row>
    <row r="40" spans="2:2" x14ac:dyDescent="0.45">
      <c r="B40">
        <v>99</v>
      </c>
    </row>
    <row r="41" spans="2:2" x14ac:dyDescent="0.45">
      <c r="B41">
        <v>20</v>
      </c>
    </row>
    <row r="42" spans="2:2" x14ac:dyDescent="0.45">
      <c r="B42">
        <v>4</v>
      </c>
    </row>
    <row r="43" spans="2:2" x14ac:dyDescent="0.45">
      <c r="B43">
        <v>22</v>
      </c>
    </row>
    <row r="44" spans="2:2" x14ac:dyDescent="0.45">
      <c r="B44">
        <v>72</v>
      </c>
    </row>
    <row r="45" spans="2:2" x14ac:dyDescent="0.45">
      <c r="B45">
        <v>238</v>
      </c>
    </row>
    <row r="46" spans="2:2" x14ac:dyDescent="0.45">
      <c r="B46">
        <v>369</v>
      </c>
    </row>
    <row r="47" spans="2:2" x14ac:dyDescent="0.45">
      <c r="B47">
        <v>542</v>
      </c>
    </row>
    <row r="48" spans="2:2" x14ac:dyDescent="0.45">
      <c r="B48">
        <v>409</v>
      </c>
    </row>
    <row r="49" spans="2:2" x14ac:dyDescent="0.45">
      <c r="B49">
        <v>229</v>
      </c>
    </row>
    <row r="50" spans="2:2" x14ac:dyDescent="0.45">
      <c r="B50">
        <v>91</v>
      </c>
    </row>
    <row r="51" spans="2:2" x14ac:dyDescent="0.45">
      <c r="B51">
        <v>24</v>
      </c>
    </row>
    <row r="52" spans="2:2" x14ac:dyDescent="0.45">
      <c r="B52">
        <v>4</v>
      </c>
    </row>
    <row r="53" spans="2:2" x14ac:dyDescent="0.45">
      <c r="B53">
        <v>19</v>
      </c>
    </row>
    <row r="54" spans="2:2" x14ac:dyDescent="0.45">
      <c r="B54">
        <v>71</v>
      </c>
    </row>
    <row r="55" spans="2:2" x14ac:dyDescent="0.45">
      <c r="B55">
        <v>217</v>
      </c>
    </row>
    <row r="56" spans="2:2" x14ac:dyDescent="0.45">
      <c r="B56">
        <v>369</v>
      </c>
    </row>
    <row r="57" spans="2:2" x14ac:dyDescent="0.45">
      <c r="B57">
        <v>507</v>
      </c>
    </row>
    <row r="58" spans="2:2" x14ac:dyDescent="0.45">
      <c r="B58">
        <v>462</v>
      </c>
    </row>
    <row r="59" spans="2:2" x14ac:dyDescent="0.45">
      <c r="B59">
        <v>215</v>
      </c>
    </row>
    <row r="60" spans="2:2" x14ac:dyDescent="0.45">
      <c r="B60">
        <v>101</v>
      </c>
    </row>
    <row r="61" spans="2:2" x14ac:dyDescent="0.45">
      <c r="B61">
        <v>35</v>
      </c>
    </row>
    <row r="62" spans="2:2" x14ac:dyDescent="0.45">
      <c r="B62">
        <v>4</v>
      </c>
    </row>
    <row r="63" spans="2:2" x14ac:dyDescent="0.45">
      <c r="B63">
        <v>5</v>
      </c>
    </row>
    <row r="64" spans="2:2" x14ac:dyDescent="0.45">
      <c r="B64">
        <v>33</v>
      </c>
    </row>
    <row r="65" spans="2:2" x14ac:dyDescent="0.45">
      <c r="B65">
        <v>121</v>
      </c>
    </row>
    <row r="66" spans="2:2" x14ac:dyDescent="0.45">
      <c r="B66">
        <v>284</v>
      </c>
    </row>
    <row r="67" spans="2:2" x14ac:dyDescent="0.45">
      <c r="B67">
        <v>468</v>
      </c>
    </row>
    <row r="68" spans="2:2" x14ac:dyDescent="0.45">
      <c r="B68">
        <v>509</v>
      </c>
    </row>
    <row r="69" spans="2:2" x14ac:dyDescent="0.45">
      <c r="B69">
        <v>348</v>
      </c>
    </row>
    <row r="70" spans="2:2" x14ac:dyDescent="0.45">
      <c r="B70">
        <v>184</v>
      </c>
    </row>
    <row r="71" spans="2:2" x14ac:dyDescent="0.45">
      <c r="B71">
        <v>41</v>
      </c>
    </row>
    <row r="72" spans="2:2" x14ac:dyDescent="0.45">
      <c r="B72">
        <v>7</v>
      </c>
    </row>
    <row r="73" spans="2:2" x14ac:dyDescent="0.45">
      <c r="B73">
        <v>11</v>
      </c>
    </row>
    <row r="74" spans="2:2" x14ac:dyDescent="0.45">
      <c r="B74">
        <v>55</v>
      </c>
    </row>
    <row r="75" spans="2:2" x14ac:dyDescent="0.45">
      <c r="B75">
        <v>160</v>
      </c>
    </row>
    <row r="76" spans="2:2" x14ac:dyDescent="0.45">
      <c r="B76">
        <v>337</v>
      </c>
    </row>
    <row r="77" spans="2:2" x14ac:dyDescent="0.45">
      <c r="B77">
        <v>515</v>
      </c>
    </row>
    <row r="78" spans="2:2" x14ac:dyDescent="0.45">
      <c r="B78">
        <v>404</v>
      </c>
    </row>
    <row r="79" spans="2:2" x14ac:dyDescent="0.45">
      <c r="B79">
        <v>307</v>
      </c>
    </row>
    <row r="80" spans="2:2" x14ac:dyDescent="0.45">
      <c r="B80">
        <v>157</v>
      </c>
    </row>
    <row r="81" spans="2:2" x14ac:dyDescent="0.45">
      <c r="B81">
        <v>42</v>
      </c>
    </row>
    <row r="82" spans="2:2" x14ac:dyDescent="0.45">
      <c r="B82">
        <v>12</v>
      </c>
    </row>
    <row r="83" spans="2:2" x14ac:dyDescent="0.45">
      <c r="B83">
        <v>10</v>
      </c>
    </row>
    <row r="84" spans="2:2" x14ac:dyDescent="0.45">
      <c r="B84">
        <v>68</v>
      </c>
    </row>
    <row r="85" spans="2:2" x14ac:dyDescent="0.45">
      <c r="B85">
        <v>228</v>
      </c>
    </row>
    <row r="86" spans="2:2" x14ac:dyDescent="0.45">
      <c r="B86">
        <v>481</v>
      </c>
    </row>
    <row r="87" spans="2:2" x14ac:dyDescent="0.45">
      <c r="B87">
        <v>530</v>
      </c>
    </row>
    <row r="88" spans="2:2" x14ac:dyDescent="0.45">
      <c r="B88">
        <v>389</v>
      </c>
    </row>
    <row r="89" spans="2:2" x14ac:dyDescent="0.45">
      <c r="B89">
        <v>202</v>
      </c>
    </row>
    <row r="90" spans="2:2" x14ac:dyDescent="0.45">
      <c r="B90">
        <v>75</v>
      </c>
    </row>
    <row r="91" spans="2:2" x14ac:dyDescent="0.45">
      <c r="B91">
        <v>14</v>
      </c>
    </row>
    <row r="92" spans="2:2" x14ac:dyDescent="0.45">
      <c r="B92">
        <v>3</v>
      </c>
    </row>
    <row r="93" spans="2:2" x14ac:dyDescent="0.45">
      <c r="B93">
        <v>3</v>
      </c>
    </row>
    <row r="94" spans="2:2" x14ac:dyDescent="0.45">
      <c r="B94">
        <v>35</v>
      </c>
    </row>
    <row r="95" spans="2:2" x14ac:dyDescent="0.45">
      <c r="B95">
        <v>124</v>
      </c>
    </row>
    <row r="96" spans="2:2" x14ac:dyDescent="0.45">
      <c r="B96">
        <v>295</v>
      </c>
    </row>
    <row r="97" spans="2:2" x14ac:dyDescent="0.45">
      <c r="B97">
        <v>456</v>
      </c>
    </row>
    <row r="98" spans="2:2" x14ac:dyDescent="0.45">
      <c r="B98">
        <v>496</v>
      </c>
    </row>
    <row r="99" spans="2:2" x14ac:dyDescent="0.45">
      <c r="B99">
        <v>351</v>
      </c>
    </row>
    <row r="100" spans="2:2" x14ac:dyDescent="0.45">
      <c r="B100">
        <v>170</v>
      </c>
    </row>
    <row r="101" spans="2:2" x14ac:dyDescent="0.45">
      <c r="B101">
        <v>60</v>
      </c>
    </row>
    <row r="102" spans="2:2" x14ac:dyDescent="0.45">
      <c r="B102">
        <v>10</v>
      </c>
    </row>
    <row r="103" spans="2:2" x14ac:dyDescent="0.45">
      <c r="B103">
        <v>19</v>
      </c>
    </row>
    <row r="104" spans="2:2" x14ac:dyDescent="0.45">
      <c r="B104">
        <v>78</v>
      </c>
    </row>
    <row r="105" spans="2:2" x14ac:dyDescent="0.45">
      <c r="B105">
        <v>243</v>
      </c>
    </row>
    <row r="106" spans="2:2" x14ac:dyDescent="0.45">
      <c r="B106">
        <v>493</v>
      </c>
    </row>
    <row r="107" spans="2:2" x14ac:dyDescent="0.45">
      <c r="B107">
        <v>479</v>
      </c>
    </row>
    <row r="108" spans="2:2" x14ac:dyDescent="0.45">
      <c r="B108">
        <v>388</v>
      </c>
    </row>
    <row r="109" spans="2:2" x14ac:dyDescent="0.45">
      <c r="B109">
        <v>196</v>
      </c>
    </row>
    <row r="110" spans="2:2" x14ac:dyDescent="0.45">
      <c r="B110">
        <v>79</v>
      </c>
    </row>
    <row r="111" spans="2:2" x14ac:dyDescent="0.45">
      <c r="B111">
        <v>22</v>
      </c>
    </row>
    <row r="112" spans="2:2" x14ac:dyDescent="0.45">
      <c r="B112">
        <v>3</v>
      </c>
    </row>
    <row r="113" spans="2:2" x14ac:dyDescent="0.45">
      <c r="B113">
        <v>18</v>
      </c>
    </row>
    <row r="114" spans="2:2" x14ac:dyDescent="0.45">
      <c r="B114">
        <v>86</v>
      </c>
    </row>
    <row r="115" spans="2:2" x14ac:dyDescent="0.45">
      <c r="B115">
        <v>242</v>
      </c>
    </row>
    <row r="116" spans="2:2" x14ac:dyDescent="0.45">
      <c r="B116">
        <v>368</v>
      </c>
    </row>
    <row r="117" spans="2:2" x14ac:dyDescent="0.45">
      <c r="B117">
        <v>562</v>
      </c>
    </row>
    <row r="118" spans="2:2" x14ac:dyDescent="0.45">
      <c r="B118">
        <v>433</v>
      </c>
    </row>
    <row r="119" spans="2:2" x14ac:dyDescent="0.45">
      <c r="B119">
        <v>179</v>
      </c>
    </row>
    <row r="120" spans="2:2" x14ac:dyDescent="0.45">
      <c r="B120">
        <v>90</v>
      </c>
    </row>
    <row r="121" spans="2:2" x14ac:dyDescent="0.45">
      <c r="B121">
        <v>15</v>
      </c>
    </row>
    <row r="122" spans="2:2" x14ac:dyDescent="0.45">
      <c r="B122">
        <v>7</v>
      </c>
    </row>
    <row r="123" spans="2:2" x14ac:dyDescent="0.45">
      <c r="B123">
        <v>13</v>
      </c>
    </row>
    <row r="124" spans="2:2" x14ac:dyDescent="0.45">
      <c r="B124">
        <v>62</v>
      </c>
    </row>
    <row r="125" spans="2:2" x14ac:dyDescent="0.45">
      <c r="B125">
        <v>246</v>
      </c>
    </row>
    <row r="126" spans="2:2" x14ac:dyDescent="0.45">
      <c r="B126">
        <v>474</v>
      </c>
    </row>
    <row r="127" spans="2:2" x14ac:dyDescent="0.45">
      <c r="B127">
        <v>571</v>
      </c>
    </row>
    <row r="128" spans="2:2" x14ac:dyDescent="0.45">
      <c r="B128">
        <v>381</v>
      </c>
    </row>
    <row r="129" spans="2:2" x14ac:dyDescent="0.45">
      <c r="B129">
        <v>179</v>
      </c>
    </row>
    <row r="130" spans="2:2" x14ac:dyDescent="0.45">
      <c r="B130">
        <v>62</v>
      </c>
    </row>
    <row r="131" spans="2:2" x14ac:dyDescent="0.45">
      <c r="B131">
        <v>8</v>
      </c>
    </row>
    <row r="132" spans="2:2" x14ac:dyDescent="0.45">
      <c r="B132">
        <v>4</v>
      </c>
    </row>
    <row r="133" spans="2:2" x14ac:dyDescent="0.45">
      <c r="B133">
        <v>9</v>
      </c>
    </row>
    <row r="134" spans="2:2" x14ac:dyDescent="0.45">
      <c r="B134">
        <v>90</v>
      </c>
    </row>
    <row r="135" spans="2:2" x14ac:dyDescent="0.45">
      <c r="B135">
        <v>241</v>
      </c>
    </row>
    <row r="136" spans="2:2" x14ac:dyDescent="0.45">
      <c r="B136">
        <v>575</v>
      </c>
    </row>
    <row r="137" spans="2:2" x14ac:dyDescent="0.45">
      <c r="B137">
        <v>628</v>
      </c>
    </row>
    <row r="138" spans="2:2" x14ac:dyDescent="0.45">
      <c r="B138">
        <v>293</v>
      </c>
    </row>
    <row r="139" spans="2:2" x14ac:dyDescent="0.45">
      <c r="B139">
        <v>124</v>
      </c>
    </row>
    <row r="140" spans="2:2" x14ac:dyDescent="0.45">
      <c r="B140">
        <v>31</v>
      </c>
    </row>
    <row r="141" spans="2:2" x14ac:dyDescent="0.45">
      <c r="B141">
        <v>7</v>
      </c>
    </row>
    <row r="142" spans="2:2" x14ac:dyDescent="0.45">
      <c r="B142">
        <v>2</v>
      </c>
    </row>
    <row r="143" spans="2:2" x14ac:dyDescent="0.45">
      <c r="B143">
        <v>17</v>
      </c>
    </row>
    <row r="144" spans="2:2" x14ac:dyDescent="0.45">
      <c r="B144">
        <v>45</v>
      </c>
    </row>
    <row r="145" spans="2:2" x14ac:dyDescent="0.45">
      <c r="B145">
        <v>233</v>
      </c>
    </row>
    <row r="146" spans="2:2" x14ac:dyDescent="0.45">
      <c r="B146">
        <v>425</v>
      </c>
    </row>
    <row r="147" spans="2:2" x14ac:dyDescent="0.45">
      <c r="B147">
        <v>559</v>
      </c>
    </row>
    <row r="148" spans="2:2" x14ac:dyDescent="0.45">
      <c r="B148">
        <v>382</v>
      </c>
    </row>
    <row r="149" spans="2:2" x14ac:dyDescent="0.45">
      <c r="B149">
        <v>241</v>
      </c>
    </row>
    <row r="150" spans="2:2" x14ac:dyDescent="0.45">
      <c r="B150">
        <v>81</v>
      </c>
    </row>
    <row r="151" spans="2:2" x14ac:dyDescent="0.45">
      <c r="B151">
        <v>10</v>
      </c>
    </row>
    <row r="152" spans="2:2" x14ac:dyDescent="0.45">
      <c r="B152">
        <v>7</v>
      </c>
    </row>
    <row r="153" spans="2:2" x14ac:dyDescent="0.45">
      <c r="B153">
        <v>9</v>
      </c>
    </row>
    <row r="154" spans="2:2" x14ac:dyDescent="0.45">
      <c r="B154">
        <v>44</v>
      </c>
    </row>
    <row r="155" spans="2:2" x14ac:dyDescent="0.45">
      <c r="B155">
        <v>134</v>
      </c>
    </row>
    <row r="156" spans="2:2" x14ac:dyDescent="0.45">
      <c r="B156">
        <v>460</v>
      </c>
    </row>
    <row r="157" spans="2:2" x14ac:dyDescent="0.45">
      <c r="B157">
        <v>534</v>
      </c>
    </row>
    <row r="158" spans="2:2" x14ac:dyDescent="0.45">
      <c r="B158">
        <v>511</v>
      </c>
    </row>
    <row r="159" spans="2:2" x14ac:dyDescent="0.45">
      <c r="B159">
        <v>211</v>
      </c>
    </row>
    <row r="160" spans="2:2" x14ac:dyDescent="0.45">
      <c r="B160">
        <v>81</v>
      </c>
    </row>
    <row r="161" spans="2:2" x14ac:dyDescent="0.45">
      <c r="B161">
        <v>13</v>
      </c>
    </row>
    <row r="162" spans="2:2" x14ac:dyDescent="0.45">
      <c r="B162">
        <v>3</v>
      </c>
    </row>
    <row r="163" spans="2:2" x14ac:dyDescent="0.45">
      <c r="B163">
        <v>15</v>
      </c>
    </row>
    <row r="164" spans="2:2" x14ac:dyDescent="0.45">
      <c r="B164">
        <v>78</v>
      </c>
    </row>
    <row r="165" spans="2:2" x14ac:dyDescent="0.45">
      <c r="B165">
        <v>333</v>
      </c>
    </row>
    <row r="166" spans="2:2" x14ac:dyDescent="0.45">
      <c r="B166">
        <v>440</v>
      </c>
    </row>
    <row r="167" spans="2:2" x14ac:dyDescent="0.45">
      <c r="B167">
        <v>616</v>
      </c>
    </row>
    <row r="168" spans="2:2" x14ac:dyDescent="0.45">
      <c r="B168">
        <v>305</v>
      </c>
    </row>
    <row r="169" spans="2:2" x14ac:dyDescent="0.45">
      <c r="B169">
        <v>159</v>
      </c>
    </row>
    <row r="170" spans="2:2" x14ac:dyDescent="0.45">
      <c r="B170">
        <v>46</v>
      </c>
    </row>
    <row r="171" spans="2:2" x14ac:dyDescent="0.45">
      <c r="B171">
        <v>7</v>
      </c>
    </row>
    <row r="172" spans="2:2" x14ac:dyDescent="0.45">
      <c r="B172">
        <v>1</v>
      </c>
    </row>
    <row r="173" spans="2:2" x14ac:dyDescent="0.45">
      <c r="B173">
        <v>5</v>
      </c>
    </row>
    <row r="174" spans="2:2" x14ac:dyDescent="0.45">
      <c r="B174">
        <v>23</v>
      </c>
    </row>
    <row r="175" spans="2:2" x14ac:dyDescent="0.45">
      <c r="B175">
        <v>116</v>
      </c>
    </row>
    <row r="176" spans="2:2" x14ac:dyDescent="0.45">
      <c r="B176">
        <v>323</v>
      </c>
    </row>
    <row r="177" spans="2:2" x14ac:dyDescent="0.45">
      <c r="B177">
        <v>548</v>
      </c>
    </row>
    <row r="178" spans="2:2" x14ac:dyDescent="0.45">
      <c r="B178">
        <v>476</v>
      </c>
    </row>
    <row r="179" spans="2:2" x14ac:dyDescent="0.45">
      <c r="B179">
        <v>311</v>
      </c>
    </row>
    <row r="180" spans="2:2" x14ac:dyDescent="0.45">
      <c r="B180">
        <v>142</v>
      </c>
    </row>
    <row r="181" spans="2:2" x14ac:dyDescent="0.45">
      <c r="B181">
        <v>49</v>
      </c>
    </row>
    <row r="182" spans="2:2" x14ac:dyDescent="0.45">
      <c r="B182">
        <v>7</v>
      </c>
    </row>
    <row r="183" spans="2:2" x14ac:dyDescent="0.45">
      <c r="B183">
        <v>16</v>
      </c>
    </row>
    <row r="184" spans="2:2" x14ac:dyDescent="0.45">
      <c r="B184">
        <v>96</v>
      </c>
    </row>
    <row r="185" spans="2:2" x14ac:dyDescent="0.45">
      <c r="B185">
        <v>254</v>
      </c>
    </row>
    <row r="186" spans="2:2" x14ac:dyDescent="0.45">
      <c r="B186">
        <v>471</v>
      </c>
    </row>
    <row r="187" spans="2:2" x14ac:dyDescent="0.45">
      <c r="B187">
        <v>571</v>
      </c>
    </row>
    <row r="188" spans="2:2" x14ac:dyDescent="0.45">
      <c r="B188">
        <v>338</v>
      </c>
    </row>
    <row r="189" spans="2:2" x14ac:dyDescent="0.45">
      <c r="B189">
        <v>174</v>
      </c>
    </row>
    <row r="190" spans="2:2" x14ac:dyDescent="0.45">
      <c r="B190">
        <v>66</v>
      </c>
    </row>
    <row r="191" spans="2:2" x14ac:dyDescent="0.45">
      <c r="B191">
        <v>13</v>
      </c>
    </row>
    <row r="192" spans="2:2" x14ac:dyDescent="0.45">
      <c r="B192">
        <v>1</v>
      </c>
    </row>
    <row r="193" spans="2:2" x14ac:dyDescent="0.45">
      <c r="B193">
        <v>18</v>
      </c>
    </row>
    <row r="194" spans="2:2" x14ac:dyDescent="0.45">
      <c r="B194">
        <v>90</v>
      </c>
    </row>
    <row r="195" spans="2:2" x14ac:dyDescent="0.45">
      <c r="B195">
        <v>190</v>
      </c>
    </row>
    <row r="196" spans="2:2" x14ac:dyDescent="0.45">
      <c r="B196">
        <v>440</v>
      </c>
    </row>
    <row r="197" spans="2:2" x14ac:dyDescent="0.45">
      <c r="B197">
        <v>445</v>
      </c>
    </row>
    <row r="198" spans="2:2" x14ac:dyDescent="0.45">
      <c r="B198">
        <v>465</v>
      </c>
    </row>
    <row r="199" spans="2:2" x14ac:dyDescent="0.45">
      <c r="B199">
        <v>204</v>
      </c>
    </row>
    <row r="200" spans="2:2" x14ac:dyDescent="0.45">
      <c r="B200">
        <v>116</v>
      </c>
    </row>
    <row r="201" spans="2:2" x14ac:dyDescent="0.45">
      <c r="B201">
        <v>25</v>
      </c>
    </row>
    <row r="202" spans="2:2" x14ac:dyDescent="0.45">
      <c r="B202">
        <v>7</v>
      </c>
    </row>
    <row r="203" spans="2:2" x14ac:dyDescent="0.45">
      <c r="B203">
        <v>21</v>
      </c>
    </row>
    <row r="204" spans="2:2" x14ac:dyDescent="0.45">
      <c r="B204">
        <v>110</v>
      </c>
    </row>
    <row r="205" spans="2:2" x14ac:dyDescent="0.45">
      <c r="B205">
        <v>295</v>
      </c>
    </row>
    <row r="206" spans="2:2" x14ac:dyDescent="0.45">
      <c r="B206">
        <v>488</v>
      </c>
    </row>
    <row r="207" spans="2:2" x14ac:dyDescent="0.45">
      <c r="B207">
        <v>548</v>
      </c>
    </row>
    <row r="208" spans="2:2" x14ac:dyDescent="0.45">
      <c r="B208">
        <v>338</v>
      </c>
    </row>
    <row r="209" spans="2:2" x14ac:dyDescent="0.45">
      <c r="B209">
        <v>146</v>
      </c>
    </row>
    <row r="210" spans="2:2" x14ac:dyDescent="0.45">
      <c r="B210">
        <v>40</v>
      </c>
    </row>
    <row r="211" spans="2:2" x14ac:dyDescent="0.45">
      <c r="B211">
        <v>11</v>
      </c>
    </row>
    <row r="212" spans="2:2" x14ac:dyDescent="0.45">
      <c r="B212">
        <v>3</v>
      </c>
    </row>
    <row r="213" spans="2:2" x14ac:dyDescent="0.45">
      <c r="B213">
        <v>2</v>
      </c>
    </row>
    <row r="214" spans="2:2" x14ac:dyDescent="0.45">
      <c r="B214">
        <v>20</v>
      </c>
    </row>
    <row r="215" spans="2:2" x14ac:dyDescent="0.45">
      <c r="B215">
        <v>104</v>
      </c>
    </row>
    <row r="216" spans="2:2" x14ac:dyDescent="0.45">
      <c r="B216">
        <v>290</v>
      </c>
    </row>
    <row r="217" spans="2:2" x14ac:dyDescent="0.45">
      <c r="B217">
        <v>524</v>
      </c>
    </row>
    <row r="218" spans="2:2" x14ac:dyDescent="0.45">
      <c r="B218">
        <v>503</v>
      </c>
    </row>
    <row r="219" spans="2:2" x14ac:dyDescent="0.45">
      <c r="B219">
        <v>367</v>
      </c>
    </row>
    <row r="220" spans="2:2" x14ac:dyDescent="0.45">
      <c r="B220">
        <v>137</v>
      </c>
    </row>
    <row r="221" spans="2:2" x14ac:dyDescent="0.45">
      <c r="B221">
        <v>47</v>
      </c>
    </row>
    <row r="222" spans="2:2" x14ac:dyDescent="0.45">
      <c r="B222">
        <v>6</v>
      </c>
    </row>
    <row r="223" spans="2:2" x14ac:dyDescent="0.45">
      <c r="B223">
        <v>12</v>
      </c>
    </row>
    <row r="224" spans="2:2" x14ac:dyDescent="0.45">
      <c r="B224">
        <v>72</v>
      </c>
    </row>
    <row r="225" spans="2:2" x14ac:dyDescent="0.45">
      <c r="B225">
        <v>253</v>
      </c>
    </row>
    <row r="226" spans="2:2" x14ac:dyDescent="0.45">
      <c r="B226">
        <v>457</v>
      </c>
    </row>
    <row r="227" spans="2:2" x14ac:dyDescent="0.45">
      <c r="B227">
        <v>525</v>
      </c>
    </row>
    <row r="228" spans="2:2" x14ac:dyDescent="0.45">
      <c r="B228">
        <v>392</v>
      </c>
    </row>
    <row r="229" spans="2:2" x14ac:dyDescent="0.45">
      <c r="B229">
        <v>190</v>
      </c>
    </row>
    <row r="230" spans="2:2" x14ac:dyDescent="0.45">
      <c r="B230">
        <v>81</v>
      </c>
    </row>
    <row r="231" spans="2:2" x14ac:dyDescent="0.45">
      <c r="B231">
        <v>17</v>
      </c>
    </row>
    <row r="232" spans="2:2" x14ac:dyDescent="0.45">
      <c r="B232">
        <v>1</v>
      </c>
    </row>
    <row r="233" spans="2:2" x14ac:dyDescent="0.45">
      <c r="B233">
        <v>27</v>
      </c>
    </row>
    <row r="234" spans="2:2" x14ac:dyDescent="0.45">
      <c r="B234">
        <v>82</v>
      </c>
    </row>
    <row r="235" spans="2:2" x14ac:dyDescent="0.45">
      <c r="B235">
        <v>228</v>
      </c>
    </row>
    <row r="236" spans="2:2" x14ac:dyDescent="0.45">
      <c r="B236">
        <v>344</v>
      </c>
    </row>
    <row r="237" spans="2:2" x14ac:dyDescent="0.45">
      <c r="B237">
        <v>544</v>
      </c>
    </row>
    <row r="238" spans="2:2" x14ac:dyDescent="0.45">
      <c r="B238">
        <v>360</v>
      </c>
    </row>
    <row r="239" spans="2:2" x14ac:dyDescent="0.45">
      <c r="B239">
        <v>232</v>
      </c>
    </row>
    <row r="240" spans="2:2" x14ac:dyDescent="0.45">
      <c r="B240">
        <v>125</v>
      </c>
    </row>
    <row r="241" spans="2:2" x14ac:dyDescent="0.45">
      <c r="B241">
        <v>49</v>
      </c>
    </row>
    <row r="242" spans="2:2" x14ac:dyDescent="0.45">
      <c r="B242">
        <v>9</v>
      </c>
    </row>
    <row r="243" spans="2:2" x14ac:dyDescent="0.45">
      <c r="B243">
        <v>15</v>
      </c>
    </row>
    <row r="244" spans="2:2" x14ac:dyDescent="0.45">
      <c r="B244">
        <v>53</v>
      </c>
    </row>
    <row r="245" spans="2:2" x14ac:dyDescent="0.45">
      <c r="B245">
        <v>170</v>
      </c>
    </row>
    <row r="246" spans="2:2" x14ac:dyDescent="0.45">
      <c r="B246">
        <v>355</v>
      </c>
    </row>
    <row r="247" spans="2:2" x14ac:dyDescent="0.45">
      <c r="B247">
        <v>455</v>
      </c>
    </row>
    <row r="248" spans="2:2" x14ac:dyDescent="0.45">
      <c r="B248">
        <v>390</v>
      </c>
    </row>
    <row r="249" spans="2:2" x14ac:dyDescent="0.45">
      <c r="B249">
        <v>328</v>
      </c>
    </row>
    <row r="250" spans="2:2" x14ac:dyDescent="0.45">
      <c r="B250">
        <v>174</v>
      </c>
    </row>
    <row r="251" spans="2:2" x14ac:dyDescent="0.45">
      <c r="B251">
        <v>47</v>
      </c>
    </row>
    <row r="252" spans="2:2" x14ac:dyDescent="0.45">
      <c r="B252">
        <v>13</v>
      </c>
    </row>
    <row r="253" spans="2:2" x14ac:dyDescent="0.45">
      <c r="B253">
        <v>20</v>
      </c>
    </row>
    <row r="254" spans="2:2" x14ac:dyDescent="0.45">
      <c r="B254">
        <v>114</v>
      </c>
    </row>
    <row r="255" spans="2:2" x14ac:dyDescent="0.45">
      <c r="B255">
        <v>213</v>
      </c>
    </row>
    <row r="256" spans="2:2" x14ac:dyDescent="0.45">
      <c r="B256">
        <v>446</v>
      </c>
    </row>
    <row r="257" spans="2:2" x14ac:dyDescent="0.45">
      <c r="B257">
        <v>464</v>
      </c>
    </row>
    <row r="258" spans="2:2" x14ac:dyDescent="0.45">
      <c r="B258">
        <v>377</v>
      </c>
    </row>
    <row r="259" spans="2:2" x14ac:dyDescent="0.45">
      <c r="B259">
        <v>219</v>
      </c>
    </row>
    <row r="260" spans="2:2" x14ac:dyDescent="0.45">
      <c r="B260">
        <v>111</v>
      </c>
    </row>
    <row r="261" spans="2:2" x14ac:dyDescent="0.45">
      <c r="B261">
        <v>31</v>
      </c>
    </row>
    <row r="262" spans="2:2" x14ac:dyDescent="0.45">
      <c r="B262">
        <v>5</v>
      </c>
    </row>
    <row r="263" spans="2:2" x14ac:dyDescent="0.45">
      <c r="B263">
        <v>37</v>
      </c>
    </row>
    <row r="264" spans="2:2" x14ac:dyDescent="0.45">
      <c r="B264">
        <v>100</v>
      </c>
    </row>
    <row r="265" spans="2:2" x14ac:dyDescent="0.45">
      <c r="B265">
        <v>365</v>
      </c>
    </row>
    <row r="266" spans="2:2" x14ac:dyDescent="0.45">
      <c r="B266">
        <v>460</v>
      </c>
    </row>
    <row r="267" spans="2:2" x14ac:dyDescent="0.45">
      <c r="B267">
        <v>561</v>
      </c>
    </row>
    <row r="268" spans="2:2" x14ac:dyDescent="0.45">
      <c r="B268">
        <v>280</v>
      </c>
    </row>
    <row r="269" spans="2:2" x14ac:dyDescent="0.45">
      <c r="B269">
        <v>130</v>
      </c>
    </row>
    <row r="270" spans="2:2" x14ac:dyDescent="0.45">
      <c r="B270">
        <v>53</v>
      </c>
    </row>
    <row r="271" spans="2:2" x14ac:dyDescent="0.45">
      <c r="B271">
        <v>12</v>
      </c>
    </row>
    <row r="272" spans="2:2" x14ac:dyDescent="0.45">
      <c r="B272">
        <v>2</v>
      </c>
    </row>
    <row r="273" spans="2:2" x14ac:dyDescent="0.45">
      <c r="B273">
        <v>5</v>
      </c>
    </row>
    <row r="274" spans="2:2" x14ac:dyDescent="0.45">
      <c r="B274">
        <v>39</v>
      </c>
    </row>
    <row r="275" spans="2:2" x14ac:dyDescent="0.45">
      <c r="B275">
        <v>151</v>
      </c>
    </row>
    <row r="276" spans="2:2" x14ac:dyDescent="0.45">
      <c r="B276">
        <v>322</v>
      </c>
    </row>
    <row r="277" spans="2:2" x14ac:dyDescent="0.45">
      <c r="B277">
        <v>555</v>
      </c>
    </row>
    <row r="278" spans="2:2" x14ac:dyDescent="0.45">
      <c r="B278">
        <v>508</v>
      </c>
    </row>
    <row r="279" spans="2:2" x14ac:dyDescent="0.45">
      <c r="B279">
        <v>254</v>
      </c>
    </row>
    <row r="280" spans="2:2" x14ac:dyDescent="0.45">
      <c r="B280">
        <v>132</v>
      </c>
    </row>
    <row r="281" spans="2:2" x14ac:dyDescent="0.45">
      <c r="B281">
        <v>29</v>
      </c>
    </row>
    <row r="282" spans="2:2" x14ac:dyDescent="0.45">
      <c r="B282">
        <v>5</v>
      </c>
    </row>
    <row r="283" spans="2:2" x14ac:dyDescent="0.45">
      <c r="B283">
        <v>25</v>
      </c>
    </row>
    <row r="284" spans="2:2" x14ac:dyDescent="0.45">
      <c r="B284">
        <v>109</v>
      </c>
    </row>
    <row r="285" spans="2:2" x14ac:dyDescent="0.45">
      <c r="B285">
        <v>299</v>
      </c>
    </row>
    <row r="286" spans="2:2" x14ac:dyDescent="0.45">
      <c r="B286">
        <v>552</v>
      </c>
    </row>
    <row r="287" spans="2:2" x14ac:dyDescent="0.45">
      <c r="B287">
        <v>452</v>
      </c>
    </row>
    <row r="288" spans="2:2" x14ac:dyDescent="0.45">
      <c r="B288">
        <v>352</v>
      </c>
    </row>
    <row r="289" spans="2:2" x14ac:dyDescent="0.45">
      <c r="B289">
        <v>152</v>
      </c>
    </row>
    <row r="290" spans="2:2" x14ac:dyDescent="0.45">
      <c r="B290">
        <v>41</v>
      </c>
    </row>
    <row r="291" spans="2:2" x14ac:dyDescent="0.45">
      <c r="B291">
        <v>15</v>
      </c>
    </row>
    <row r="292" spans="2:2" x14ac:dyDescent="0.45">
      <c r="B292">
        <v>3</v>
      </c>
    </row>
    <row r="293" spans="2:2" x14ac:dyDescent="0.45">
      <c r="B293">
        <v>14</v>
      </c>
    </row>
    <row r="294" spans="2:2" x14ac:dyDescent="0.45">
      <c r="B294">
        <v>67</v>
      </c>
    </row>
    <row r="295" spans="2:2" x14ac:dyDescent="0.45">
      <c r="B295">
        <v>236</v>
      </c>
    </row>
    <row r="296" spans="2:2" x14ac:dyDescent="0.45">
      <c r="B296">
        <v>397</v>
      </c>
    </row>
    <row r="297" spans="2:2" x14ac:dyDescent="0.45">
      <c r="B297">
        <v>446</v>
      </c>
    </row>
    <row r="298" spans="2:2" x14ac:dyDescent="0.45">
      <c r="B298">
        <v>410</v>
      </c>
    </row>
    <row r="299" spans="2:2" x14ac:dyDescent="0.45">
      <c r="B299">
        <v>274</v>
      </c>
    </row>
    <row r="300" spans="2:2" x14ac:dyDescent="0.45">
      <c r="B300">
        <v>106</v>
      </c>
    </row>
    <row r="301" spans="2:2" x14ac:dyDescent="0.45">
      <c r="B301">
        <v>37</v>
      </c>
    </row>
    <row r="302" spans="2:2" x14ac:dyDescent="0.45">
      <c r="B302">
        <v>13</v>
      </c>
    </row>
    <row r="303" spans="2:2" x14ac:dyDescent="0.45">
      <c r="B303">
        <v>10</v>
      </c>
    </row>
    <row r="304" spans="2:2" x14ac:dyDescent="0.45">
      <c r="B304">
        <v>59</v>
      </c>
    </row>
    <row r="305" spans="2:2" x14ac:dyDescent="0.45">
      <c r="B305">
        <v>209</v>
      </c>
    </row>
    <row r="306" spans="2:2" x14ac:dyDescent="0.45">
      <c r="B306">
        <v>470</v>
      </c>
    </row>
    <row r="307" spans="2:2" x14ac:dyDescent="0.45">
      <c r="B307">
        <v>523</v>
      </c>
    </row>
    <row r="308" spans="2:2" x14ac:dyDescent="0.45">
      <c r="B308">
        <v>384</v>
      </c>
    </row>
    <row r="309" spans="2:2" x14ac:dyDescent="0.45">
      <c r="B309">
        <v>227</v>
      </c>
    </row>
    <row r="310" spans="2:2" x14ac:dyDescent="0.45">
      <c r="B310">
        <v>96</v>
      </c>
    </row>
    <row r="311" spans="2:2" x14ac:dyDescent="0.45">
      <c r="B311">
        <v>17</v>
      </c>
    </row>
    <row r="312" spans="2:2" x14ac:dyDescent="0.45">
      <c r="B312">
        <v>5</v>
      </c>
    </row>
    <row r="313" spans="2:2" x14ac:dyDescent="0.45">
      <c r="B313">
        <v>18</v>
      </c>
    </row>
    <row r="314" spans="2:2" x14ac:dyDescent="0.45">
      <c r="B314">
        <v>110</v>
      </c>
    </row>
    <row r="315" spans="2:2" x14ac:dyDescent="0.45">
      <c r="B315">
        <v>274</v>
      </c>
    </row>
    <row r="316" spans="2:2" x14ac:dyDescent="0.45">
      <c r="B316">
        <v>460</v>
      </c>
    </row>
    <row r="317" spans="2:2" x14ac:dyDescent="0.45">
      <c r="B317">
        <v>425</v>
      </c>
    </row>
    <row r="318" spans="2:2" x14ac:dyDescent="0.45">
      <c r="B318">
        <v>312</v>
      </c>
    </row>
    <row r="319" spans="2:2" x14ac:dyDescent="0.45">
      <c r="B319">
        <v>243</v>
      </c>
    </row>
    <row r="320" spans="2:2" x14ac:dyDescent="0.45">
      <c r="B320">
        <v>113</v>
      </c>
    </row>
    <row r="321" spans="2:2" x14ac:dyDescent="0.45">
      <c r="B321">
        <v>33</v>
      </c>
    </row>
    <row r="322" spans="2:2" x14ac:dyDescent="0.45">
      <c r="B322">
        <v>12</v>
      </c>
    </row>
    <row r="323" spans="2:2" x14ac:dyDescent="0.45">
      <c r="B323">
        <v>6</v>
      </c>
    </row>
    <row r="324" spans="2:2" x14ac:dyDescent="0.45">
      <c r="B324">
        <v>23</v>
      </c>
    </row>
    <row r="325" spans="2:2" x14ac:dyDescent="0.45">
      <c r="B325">
        <v>147</v>
      </c>
    </row>
    <row r="326" spans="2:2" x14ac:dyDescent="0.45">
      <c r="B326">
        <v>362</v>
      </c>
    </row>
    <row r="327" spans="2:2" x14ac:dyDescent="0.45">
      <c r="B327">
        <v>534</v>
      </c>
    </row>
    <row r="328" spans="2:2" x14ac:dyDescent="0.45">
      <c r="B328">
        <v>503</v>
      </c>
    </row>
    <row r="329" spans="2:2" x14ac:dyDescent="0.45">
      <c r="B329">
        <v>265</v>
      </c>
    </row>
    <row r="330" spans="2:2" x14ac:dyDescent="0.45">
      <c r="B330">
        <v>123</v>
      </c>
    </row>
    <row r="331" spans="2:2" x14ac:dyDescent="0.45">
      <c r="B331">
        <v>29</v>
      </c>
    </row>
    <row r="332" spans="2:2" x14ac:dyDescent="0.45">
      <c r="B332">
        <v>8</v>
      </c>
    </row>
    <row r="333" spans="2:2" x14ac:dyDescent="0.45">
      <c r="B333">
        <v>16</v>
      </c>
    </row>
    <row r="334" spans="2:2" x14ac:dyDescent="0.45">
      <c r="B334">
        <v>87</v>
      </c>
    </row>
    <row r="335" spans="2:2" x14ac:dyDescent="0.45">
      <c r="B335">
        <v>233</v>
      </c>
    </row>
    <row r="336" spans="2:2" x14ac:dyDescent="0.45">
      <c r="B336">
        <v>401</v>
      </c>
    </row>
    <row r="337" spans="2:2" x14ac:dyDescent="0.45">
      <c r="B337">
        <v>587</v>
      </c>
    </row>
    <row r="338" spans="2:2" x14ac:dyDescent="0.45">
      <c r="B338">
        <v>349</v>
      </c>
    </row>
    <row r="339" spans="2:2" x14ac:dyDescent="0.45">
      <c r="B339">
        <v>209</v>
      </c>
    </row>
    <row r="340" spans="2:2" x14ac:dyDescent="0.45">
      <c r="B340">
        <v>80</v>
      </c>
    </row>
    <row r="341" spans="2:2" x14ac:dyDescent="0.45">
      <c r="B341">
        <v>27</v>
      </c>
    </row>
    <row r="342" spans="2:2" x14ac:dyDescent="0.45">
      <c r="B342">
        <v>11</v>
      </c>
    </row>
    <row r="343" spans="2:2" x14ac:dyDescent="0.45">
      <c r="B343">
        <v>6</v>
      </c>
    </row>
    <row r="344" spans="2:2" x14ac:dyDescent="0.45">
      <c r="B344">
        <v>68</v>
      </c>
    </row>
    <row r="345" spans="2:2" x14ac:dyDescent="0.45">
      <c r="B345">
        <v>225</v>
      </c>
    </row>
    <row r="346" spans="2:2" x14ac:dyDescent="0.45">
      <c r="B346">
        <v>465</v>
      </c>
    </row>
    <row r="347" spans="2:2" x14ac:dyDescent="0.45">
      <c r="B347">
        <v>558</v>
      </c>
    </row>
    <row r="348" spans="2:2" x14ac:dyDescent="0.45">
      <c r="B348">
        <v>416</v>
      </c>
    </row>
    <row r="349" spans="2:2" x14ac:dyDescent="0.45">
      <c r="B349">
        <v>188</v>
      </c>
    </row>
    <row r="350" spans="2:2" x14ac:dyDescent="0.45">
      <c r="B350">
        <v>52</v>
      </c>
    </row>
    <row r="351" spans="2:2" x14ac:dyDescent="0.45">
      <c r="B351">
        <v>17</v>
      </c>
    </row>
    <row r="352" spans="2:2" x14ac:dyDescent="0.45">
      <c r="B352">
        <v>5</v>
      </c>
    </row>
    <row r="353" spans="2:2" x14ac:dyDescent="0.45">
      <c r="B353">
        <v>11</v>
      </c>
    </row>
    <row r="354" spans="2:2" x14ac:dyDescent="0.45">
      <c r="B354">
        <v>106</v>
      </c>
    </row>
    <row r="355" spans="2:2" x14ac:dyDescent="0.45">
      <c r="B355">
        <v>248</v>
      </c>
    </row>
    <row r="356" spans="2:2" x14ac:dyDescent="0.45">
      <c r="B356">
        <v>483</v>
      </c>
    </row>
    <row r="357" spans="2:2" x14ac:dyDescent="0.45">
      <c r="B357">
        <v>500</v>
      </c>
    </row>
    <row r="358" spans="2:2" x14ac:dyDescent="0.45">
      <c r="B358">
        <v>371</v>
      </c>
    </row>
    <row r="359" spans="2:2" x14ac:dyDescent="0.45">
      <c r="B359">
        <v>202</v>
      </c>
    </row>
    <row r="360" spans="2:2" x14ac:dyDescent="0.45">
      <c r="B360">
        <v>57</v>
      </c>
    </row>
    <row r="361" spans="2:2" x14ac:dyDescent="0.45">
      <c r="B361">
        <v>18</v>
      </c>
    </row>
    <row r="362" spans="2:2" x14ac:dyDescent="0.45">
      <c r="B362">
        <v>4</v>
      </c>
    </row>
    <row r="363" spans="2:2" x14ac:dyDescent="0.45">
      <c r="B363">
        <v>3</v>
      </c>
    </row>
    <row r="364" spans="2:2" x14ac:dyDescent="0.45">
      <c r="B364">
        <v>20</v>
      </c>
    </row>
    <row r="365" spans="2:2" x14ac:dyDescent="0.45">
      <c r="B365">
        <v>75</v>
      </c>
    </row>
    <row r="366" spans="2:2" x14ac:dyDescent="0.45">
      <c r="B366">
        <v>277</v>
      </c>
    </row>
    <row r="367" spans="2:2" x14ac:dyDescent="0.45">
      <c r="B367">
        <v>472</v>
      </c>
    </row>
    <row r="368" spans="2:2" x14ac:dyDescent="0.45">
      <c r="B368">
        <v>499</v>
      </c>
    </row>
    <row r="369" spans="2:2" x14ac:dyDescent="0.45">
      <c r="B369">
        <v>395</v>
      </c>
    </row>
    <row r="370" spans="2:2" x14ac:dyDescent="0.45">
      <c r="B370">
        <v>179</v>
      </c>
    </row>
    <row r="371" spans="2:2" x14ac:dyDescent="0.45">
      <c r="B371">
        <v>61</v>
      </c>
    </row>
    <row r="372" spans="2:2" x14ac:dyDescent="0.45">
      <c r="B372">
        <v>19</v>
      </c>
    </row>
    <row r="373" spans="2:2" x14ac:dyDescent="0.45">
      <c r="B373">
        <v>8</v>
      </c>
    </row>
    <row r="374" spans="2:2" x14ac:dyDescent="0.45">
      <c r="B374">
        <v>36</v>
      </c>
    </row>
    <row r="375" spans="2:2" x14ac:dyDescent="0.45">
      <c r="B375">
        <v>177</v>
      </c>
    </row>
    <row r="376" spans="2:2" x14ac:dyDescent="0.45">
      <c r="B376">
        <v>391</v>
      </c>
    </row>
    <row r="377" spans="2:2" x14ac:dyDescent="0.45">
      <c r="B377">
        <v>527</v>
      </c>
    </row>
    <row r="378" spans="2:2" x14ac:dyDescent="0.45">
      <c r="B378">
        <v>387</v>
      </c>
    </row>
    <row r="379" spans="2:2" x14ac:dyDescent="0.45">
      <c r="B379">
        <v>311</v>
      </c>
    </row>
    <row r="380" spans="2:2" x14ac:dyDescent="0.45">
      <c r="B380">
        <v>126</v>
      </c>
    </row>
    <row r="381" spans="2:2" x14ac:dyDescent="0.45">
      <c r="B381">
        <v>29</v>
      </c>
    </row>
    <row r="382" spans="2:2" x14ac:dyDescent="0.45">
      <c r="B382">
        <v>8</v>
      </c>
    </row>
    <row r="383" spans="2:2" x14ac:dyDescent="0.45">
      <c r="B383">
        <v>9</v>
      </c>
    </row>
    <row r="384" spans="2:2" x14ac:dyDescent="0.45">
      <c r="B384">
        <v>30</v>
      </c>
    </row>
    <row r="385" spans="2:2" x14ac:dyDescent="0.45">
      <c r="B385">
        <v>200</v>
      </c>
    </row>
    <row r="386" spans="2:2" x14ac:dyDescent="0.45">
      <c r="B386">
        <v>371</v>
      </c>
    </row>
    <row r="387" spans="2:2" x14ac:dyDescent="0.45">
      <c r="B387">
        <v>524</v>
      </c>
    </row>
    <row r="388" spans="2:2" x14ac:dyDescent="0.45">
      <c r="B388">
        <v>420</v>
      </c>
    </row>
    <row r="389" spans="2:2" x14ac:dyDescent="0.45">
      <c r="B389">
        <v>272</v>
      </c>
    </row>
    <row r="390" spans="2:2" x14ac:dyDescent="0.45">
      <c r="B390">
        <v>132</v>
      </c>
    </row>
    <row r="391" spans="2:2" x14ac:dyDescent="0.45">
      <c r="B391">
        <v>32</v>
      </c>
    </row>
    <row r="392" spans="2:2" x14ac:dyDescent="0.45">
      <c r="B392">
        <v>10</v>
      </c>
    </row>
    <row r="393" spans="2:2" x14ac:dyDescent="0.45">
      <c r="B393">
        <v>20</v>
      </c>
    </row>
    <row r="394" spans="2:2" x14ac:dyDescent="0.45">
      <c r="B394">
        <v>103</v>
      </c>
    </row>
    <row r="395" spans="2:2" x14ac:dyDescent="0.45">
      <c r="B395">
        <v>256</v>
      </c>
    </row>
    <row r="396" spans="2:2" x14ac:dyDescent="0.45">
      <c r="B396">
        <v>465</v>
      </c>
    </row>
    <row r="397" spans="2:2" x14ac:dyDescent="0.45">
      <c r="B397">
        <v>574</v>
      </c>
    </row>
    <row r="398" spans="2:2" x14ac:dyDescent="0.45">
      <c r="B398">
        <v>306</v>
      </c>
    </row>
    <row r="399" spans="2:2" x14ac:dyDescent="0.45">
      <c r="B399">
        <v>177</v>
      </c>
    </row>
    <row r="400" spans="2:2" x14ac:dyDescent="0.45">
      <c r="B400">
        <v>76</v>
      </c>
    </row>
    <row r="401" spans="2:2" x14ac:dyDescent="0.45">
      <c r="B401">
        <v>17</v>
      </c>
    </row>
    <row r="402" spans="2:2" x14ac:dyDescent="0.45">
      <c r="B402">
        <v>6</v>
      </c>
    </row>
    <row r="403" spans="2:2" x14ac:dyDescent="0.45">
      <c r="B403">
        <v>18</v>
      </c>
    </row>
    <row r="404" spans="2:2" x14ac:dyDescent="0.45">
      <c r="B404">
        <v>75</v>
      </c>
    </row>
    <row r="405" spans="2:2" x14ac:dyDescent="0.45">
      <c r="B405">
        <v>280</v>
      </c>
    </row>
    <row r="406" spans="2:2" x14ac:dyDescent="0.45">
      <c r="B406">
        <v>534</v>
      </c>
    </row>
    <row r="407" spans="2:2" x14ac:dyDescent="0.45">
      <c r="B407">
        <v>550</v>
      </c>
    </row>
    <row r="408" spans="2:2" x14ac:dyDescent="0.45">
      <c r="B408">
        <v>317</v>
      </c>
    </row>
    <row r="409" spans="2:2" x14ac:dyDescent="0.45">
      <c r="B409">
        <v>153</v>
      </c>
    </row>
    <row r="410" spans="2:2" x14ac:dyDescent="0.45">
      <c r="B410">
        <v>58</v>
      </c>
    </row>
    <row r="411" spans="2:2" x14ac:dyDescent="0.45">
      <c r="B411">
        <v>12</v>
      </c>
    </row>
    <row r="412" spans="2:2" x14ac:dyDescent="0.45">
      <c r="B412">
        <v>3</v>
      </c>
    </row>
    <row r="413" spans="2:2" x14ac:dyDescent="0.45">
      <c r="B413">
        <v>11</v>
      </c>
    </row>
    <row r="414" spans="2:2" x14ac:dyDescent="0.45">
      <c r="B414">
        <v>60</v>
      </c>
    </row>
    <row r="415" spans="2:2" x14ac:dyDescent="0.45">
      <c r="B415">
        <v>203</v>
      </c>
    </row>
    <row r="416" spans="2:2" x14ac:dyDescent="0.45">
      <c r="B416">
        <v>422</v>
      </c>
    </row>
    <row r="417" spans="2:2" x14ac:dyDescent="0.45">
      <c r="B417">
        <v>499</v>
      </c>
    </row>
    <row r="418" spans="2:2" x14ac:dyDescent="0.45">
      <c r="B418">
        <v>378</v>
      </c>
    </row>
    <row r="419" spans="2:2" x14ac:dyDescent="0.45">
      <c r="B419">
        <v>275</v>
      </c>
    </row>
    <row r="420" spans="2:2" x14ac:dyDescent="0.45">
      <c r="B420">
        <v>102</v>
      </c>
    </row>
    <row r="421" spans="2:2" x14ac:dyDescent="0.45">
      <c r="B421">
        <v>45</v>
      </c>
    </row>
    <row r="422" spans="2:2" x14ac:dyDescent="0.45">
      <c r="B422">
        <v>5</v>
      </c>
    </row>
    <row r="423" spans="2:2" x14ac:dyDescent="0.45">
      <c r="B423">
        <v>25</v>
      </c>
    </row>
    <row r="424" spans="2:2" x14ac:dyDescent="0.45">
      <c r="B424">
        <v>111</v>
      </c>
    </row>
    <row r="425" spans="2:2" x14ac:dyDescent="0.45">
      <c r="B425">
        <v>237</v>
      </c>
    </row>
    <row r="426" spans="2:2" x14ac:dyDescent="0.45">
      <c r="B426">
        <v>492</v>
      </c>
    </row>
    <row r="427" spans="2:2" x14ac:dyDescent="0.45">
      <c r="B427">
        <v>531</v>
      </c>
    </row>
    <row r="428" spans="2:2" x14ac:dyDescent="0.45">
      <c r="B428">
        <v>312</v>
      </c>
    </row>
    <row r="429" spans="2:2" x14ac:dyDescent="0.45">
      <c r="B429">
        <v>204</v>
      </c>
    </row>
    <row r="430" spans="2:2" x14ac:dyDescent="0.45">
      <c r="B430">
        <v>63</v>
      </c>
    </row>
    <row r="431" spans="2:2" x14ac:dyDescent="0.45">
      <c r="B431">
        <v>22</v>
      </c>
    </row>
    <row r="432" spans="2:2" x14ac:dyDescent="0.45">
      <c r="B432">
        <v>3</v>
      </c>
    </row>
    <row r="433" spans="2:2" x14ac:dyDescent="0.45">
      <c r="B433">
        <v>4</v>
      </c>
    </row>
    <row r="434" spans="2:2" x14ac:dyDescent="0.45">
      <c r="B434">
        <v>26</v>
      </c>
    </row>
    <row r="435" spans="2:2" x14ac:dyDescent="0.45">
      <c r="B435">
        <v>103</v>
      </c>
    </row>
    <row r="436" spans="2:2" x14ac:dyDescent="0.45">
      <c r="B436">
        <v>323</v>
      </c>
    </row>
    <row r="437" spans="2:2" x14ac:dyDescent="0.45">
      <c r="B437">
        <v>495</v>
      </c>
    </row>
    <row r="438" spans="2:2" x14ac:dyDescent="0.45">
      <c r="B438">
        <v>477</v>
      </c>
    </row>
    <row r="439" spans="2:2" x14ac:dyDescent="0.45">
      <c r="B439">
        <v>344</v>
      </c>
    </row>
    <row r="440" spans="2:2" x14ac:dyDescent="0.45">
      <c r="B440">
        <v>156</v>
      </c>
    </row>
    <row r="441" spans="2:2" x14ac:dyDescent="0.45">
      <c r="B441">
        <v>58</v>
      </c>
    </row>
    <row r="442" spans="2:2" x14ac:dyDescent="0.45">
      <c r="B442">
        <v>14</v>
      </c>
    </row>
    <row r="443" spans="2:2" x14ac:dyDescent="0.45">
      <c r="B443">
        <v>17</v>
      </c>
    </row>
    <row r="444" spans="2:2" x14ac:dyDescent="0.45">
      <c r="B444">
        <v>110</v>
      </c>
    </row>
    <row r="445" spans="2:2" x14ac:dyDescent="0.45">
      <c r="B445">
        <v>274</v>
      </c>
    </row>
    <row r="446" spans="2:2" x14ac:dyDescent="0.45">
      <c r="B446">
        <v>492</v>
      </c>
    </row>
    <row r="447" spans="2:2" x14ac:dyDescent="0.45">
      <c r="B447">
        <v>524</v>
      </c>
    </row>
    <row r="448" spans="2:2" x14ac:dyDescent="0.45">
      <c r="B448">
        <v>346</v>
      </c>
    </row>
    <row r="449" spans="2:2" x14ac:dyDescent="0.45">
      <c r="B449">
        <v>161</v>
      </c>
    </row>
    <row r="450" spans="2:2" x14ac:dyDescent="0.45">
      <c r="B450">
        <v>56</v>
      </c>
    </row>
    <row r="451" spans="2:2" x14ac:dyDescent="0.45">
      <c r="B451">
        <v>14</v>
      </c>
    </row>
    <row r="452" spans="2:2" x14ac:dyDescent="0.45">
      <c r="B452">
        <v>6</v>
      </c>
    </row>
    <row r="453" spans="2:2" x14ac:dyDescent="0.45">
      <c r="B453">
        <v>9</v>
      </c>
    </row>
    <row r="454" spans="2:2" x14ac:dyDescent="0.45">
      <c r="B454">
        <v>56</v>
      </c>
    </row>
    <row r="455" spans="2:2" x14ac:dyDescent="0.45">
      <c r="B455">
        <v>167</v>
      </c>
    </row>
    <row r="456" spans="2:2" x14ac:dyDescent="0.45">
      <c r="B456">
        <v>325</v>
      </c>
    </row>
    <row r="457" spans="2:2" x14ac:dyDescent="0.45">
      <c r="B457">
        <v>502</v>
      </c>
    </row>
    <row r="458" spans="2:2" x14ac:dyDescent="0.45">
      <c r="B458">
        <v>450</v>
      </c>
    </row>
    <row r="459" spans="2:2" x14ac:dyDescent="0.45">
      <c r="B459">
        <v>280</v>
      </c>
    </row>
    <row r="460" spans="2:2" x14ac:dyDescent="0.45">
      <c r="B460">
        <v>133</v>
      </c>
    </row>
    <row r="461" spans="2:2" x14ac:dyDescent="0.45">
      <c r="B461">
        <v>60</v>
      </c>
    </row>
    <row r="462" spans="2:2" x14ac:dyDescent="0.45">
      <c r="B462">
        <v>18</v>
      </c>
    </row>
    <row r="463" spans="2:2" x14ac:dyDescent="0.45">
      <c r="B463">
        <v>3</v>
      </c>
    </row>
    <row r="464" spans="2:2" x14ac:dyDescent="0.45">
      <c r="B464">
        <v>32</v>
      </c>
    </row>
    <row r="465" spans="2:2" x14ac:dyDescent="0.45">
      <c r="B465">
        <v>94</v>
      </c>
    </row>
    <row r="466" spans="2:2" x14ac:dyDescent="0.45">
      <c r="B466">
        <v>293</v>
      </c>
    </row>
    <row r="467" spans="2:2" x14ac:dyDescent="0.45">
      <c r="B467">
        <v>537</v>
      </c>
    </row>
    <row r="468" spans="2:2" x14ac:dyDescent="0.45">
      <c r="B468">
        <v>458</v>
      </c>
    </row>
    <row r="469" spans="2:2" x14ac:dyDescent="0.45">
      <c r="B469">
        <v>343</v>
      </c>
    </row>
    <row r="470" spans="2:2" x14ac:dyDescent="0.45">
      <c r="B470">
        <v>163</v>
      </c>
    </row>
    <row r="471" spans="2:2" x14ac:dyDescent="0.45">
      <c r="B471">
        <v>66</v>
      </c>
    </row>
    <row r="472" spans="2:2" x14ac:dyDescent="0.45">
      <c r="B472">
        <v>11</v>
      </c>
    </row>
    <row r="473" spans="2:2" x14ac:dyDescent="0.45">
      <c r="B473">
        <v>13</v>
      </c>
    </row>
    <row r="474" spans="2:2" x14ac:dyDescent="0.45">
      <c r="B474">
        <v>75</v>
      </c>
    </row>
    <row r="475" spans="2:2" x14ac:dyDescent="0.45">
      <c r="B475">
        <v>261</v>
      </c>
    </row>
    <row r="476" spans="2:2" x14ac:dyDescent="0.45">
      <c r="B476">
        <v>369</v>
      </c>
    </row>
    <row r="477" spans="2:2" x14ac:dyDescent="0.45">
      <c r="B477">
        <v>505</v>
      </c>
    </row>
    <row r="478" spans="2:2" x14ac:dyDescent="0.45">
      <c r="B478">
        <v>410</v>
      </c>
    </row>
    <row r="479" spans="2:2" x14ac:dyDescent="0.45">
      <c r="B479">
        <v>204</v>
      </c>
    </row>
    <row r="480" spans="2:2" x14ac:dyDescent="0.45">
      <c r="B480">
        <v>121</v>
      </c>
    </row>
    <row r="481" spans="2:2" x14ac:dyDescent="0.45">
      <c r="B481">
        <v>31</v>
      </c>
    </row>
    <row r="482" spans="2:2" x14ac:dyDescent="0.45">
      <c r="B482">
        <v>11</v>
      </c>
    </row>
    <row r="483" spans="2:2" x14ac:dyDescent="0.45">
      <c r="B483">
        <v>8</v>
      </c>
    </row>
    <row r="484" spans="2:2" x14ac:dyDescent="0.45">
      <c r="B484">
        <v>63</v>
      </c>
    </row>
    <row r="485" spans="2:2" x14ac:dyDescent="0.45">
      <c r="B485">
        <v>277</v>
      </c>
    </row>
    <row r="486" spans="2:2" x14ac:dyDescent="0.45">
      <c r="B486">
        <v>546</v>
      </c>
    </row>
    <row r="487" spans="2:2" x14ac:dyDescent="0.45">
      <c r="B487">
        <v>552</v>
      </c>
    </row>
    <row r="488" spans="2:2" x14ac:dyDescent="0.45">
      <c r="B488">
        <v>327</v>
      </c>
    </row>
    <row r="489" spans="2:2" x14ac:dyDescent="0.45">
      <c r="B489">
        <v>164</v>
      </c>
    </row>
    <row r="490" spans="2:2" x14ac:dyDescent="0.45">
      <c r="B490">
        <v>52</v>
      </c>
    </row>
    <row r="491" spans="2:2" x14ac:dyDescent="0.45">
      <c r="B491">
        <v>8</v>
      </c>
    </row>
    <row r="492" spans="2:2" x14ac:dyDescent="0.45">
      <c r="B492">
        <v>3</v>
      </c>
    </row>
    <row r="493" spans="2:2" x14ac:dyDescent="0.45">
      <c r="B493">
        <v>4</v>
      </c>
    </row>
    <row r="494" spans="2:2" x14ac:dyDescent="0.45">
      <c r="B494">
        <v>17</v>
      </c>
    </row>
    <row r="495" spans="2:2" x14ac:dyDescent="0.45">
      <c r="B495">
        <v>156</v>
      </c>
    </row>
    <row r="496" spans="2:2" x14ac:dyDescent="0.45">
      <c r="B496">
        <v>365</v>
      </c>
    </row>
    <row r="497" spans="2:2" x14ac:dyDescent="0.45">
      <c r="B497">
        <v>588</v>
      </c>
    </row>
    <row r="498" spans="2:2" x14ac:dyDescent="0.45">
      <c r="B498">
        <v>528</v>
      </c>
    </row>
    <row r="499" spans="2:2" x14ac:dyDescent="0.45">
      <c r="B499">
        <v>226</v>
      </c>
    </row>
    <row r="500" spans="2:2" x14ac:dyDescent="0.45">
      <c r="B500">
        <v>95</v>
      </c>
    </row>
    <row r="501" spans="2:2" x14ac:dyDescent="0.45">
      <c r="B501">
        <v>17</v>
      </c>
    </row>
    <row r="502" spans="2:2" x14ac:dyDescent="0.45">
      <c r="B502">
        <v>4</v>
      </c>
    </row>
    <row r="503" spans="2:2" x14ac:dyDescent="0.45">
      <c r="B503">
        <v>8</v>
      </c>
    </row>
    <row r="504" spans="2:2" x14ac:dyDescent="0.45">
      <c r="B504">
        <v>69</v>
      </c>
    </row>
    <row r="505" spans="2:2" x14ac:dyDescent="0.45">
      <c r="B505">
        <v>190</v>
      </c>
    </row>
    <row r="506" spans="2:2" x14ac:dyDescent="0.45">
      <c r="B506">
        <v>410</v>
      </c>
    </row>
    <row r="507" spans="2:2" x14ac:dyDescent="0.45">
      <c r="B507">
        <v>521</v>
      </c>
    </row>
    <row r="508" spans="2:2" x14ac:dyDescent="0.45">
      <c r="B508">
        <v>396</v>
      </c>
    </row>
    <row r="509" spans="2:2" x14ac:dyDescent="0.45">
      <c r="B509">
        <v>263</v>
      </c>
    </row>
    <row r="510" spans="2:2" x14ac:dyDescent="0.45">
      <c r="B510">
        <v>99</v>
      </c>
    </row>
    <row r="511" spans="2:2" x14ac:dyDescent="0.45">
      <c r="B511">
        <v>37</v>
      </c>
    </row>
    <row r="512" spans="2:2" x14ac:dyDescent="0.45">
      <c r="B512">
        <v>7</v>
      </c>
    </row>
    <row r="513" spans="2:2" x14ac:dyDescent="0.45">
      <c r="B513">
        <v>11</v>
      </c>
    </row>
    <row r="514" spans="2:2" x14ac:dyDescent="0.45">
      <c r="B514">
        <v>54</v>
      </c>
    </row>
    <row r="515" spans="2:2" x14ac:dyDescent="0.45">
      <c r="B515">
        <v>186</v>
      </c>
    </row>
    <row r="516" spans="2:2" x14ac:dyDescent="0.45">
      <c r="B516">
        <v>376</v>
      </c>
    </row>
    <row r="517" spans="2:2" x14ac:dyDescent="0.45">
      <c r="B517">
        <v>537</v>
      </c>
    </row>
    <row r="518" spans="2:2" x14ac:dyDescent="0.45">
      <c r="B518">
        <v>347</v>
      </c>
    </row>
    <row r="519" spans="2:2" x14ac:dyDescent="0.45">
      <c r="B519">
        <v>300</v>
      </c>
    </row>
    <row r="520" spans="2:2" x14ac:dyDescent="0.45">
      <c r="B520">
        <v>139</v>
      </c>
    </row>
    <row r="521" spans="2:2" x14ac:dyDescent="0.45">
      <c r="B521">
        <v>39</v>
      </c>
    </row>
    <row r="522" spans="2:2" x14ac:dyDescent="0.45">
      <c r="B522">
        <v>11</v>
      </c>
    </row>
    <row r="523" spans="2:2" x14ac:dyDescent="0.45">
      <c r="B523">
        <v>17</v>
      </c>
    </row>
    <row r="524" spans="2:2" x14ac:dyDescent="0.45">
      <c r="B524">
        <v>73</v>
      </c>
    </row>
    <row r="525" spans="2:2" x14ac:dyDescent="0.45">
      <c r="B525">
        <v>233</v>
      </c>
    </row>
    <row r="526" spans="2:2" x14ac:dyDescent="0.45">
      <c r="B526">
        <v>436</v>
      </c>
    </row>
    <row r="527" spans="2:2" x14ac:dyDescent="0.45">
      <c r="B527">
        <v>477</v>
      </c>
    </row>
    <row r="528" spans="2:2" x14ac:dyDescent="0.45">
      <c r="B528">
        <v>446</v>
      </c>
    </row>
    <row r="529" spans="2:2" x14ac:dyDescent="0.45">
      <c r="B529">
        <v>214</v>
      </c>
    </row>
    <row r="530" spans="2:2" x14ac:dyDescent="0.45">
      <c r="B530">
        <v>67</v>
      </c>
    </row>
    <row r="531" spans="2:2" x14ac:dyDescent="0.45">
      <c r="B531">
        <v>34</v>
      </c>
    </row>
    <row r="532" spans="2:2" x14ac:dyDescent="0.45">
      <c r="B532">
        <v>3</v>
      </c>
    </row>
    <row r="533" spans="2:2" x14ac:dyDescent="0.45">
      <c r="B533">
        <v>5</v>
      </c>
    </row>
    <row r="534" spans="2:2" x14ac:dyDescent="0.45">
      <c r="B534">
        <v>28</v>
      </c>
    </row>
    <row r="535" spans="2:2" x14ac:dyDescent="0.45">
      <c r="B535">
        <v>188</v>
      </c>
    </row>
    <row r="536" spans="2:2" x14ac:dyDescent="0.45">
      <c r="B536">
        <v>445</v>
      </c>
    </row>
    <row r="537" spans="2:2" x14ac:dyDescent="0.45">
      <c r="B537">
        <v>457</v>
      </c>
    </row>
    <row r="538" spans="2:2" x14ac:dyDescent="0.45">
      <c r="B538">
        <v>290</v>
      </c>
    </row>
    <row r="539" spans="2:2" x14ac:dyDescent="0.45">
      <c r="B539">
        <v>163</v>
      </c>
    </row>
    <row r="540" spans="2:2" x14ac:dyDescent="0.45">
      <c r="B540">
        <v>257</v>
      </c>
    </row>
    <row r="541" spans="2:2" x14ac:dyDescent="0.45">
      <c r="B541">
        <v>138</v>
      </c>
    </row>
    <row r="542" spans="2:2" x14ac:dyDescent="0.45">
      <c r="B542">
        <v>29</v>
      </c>
    </row>
    <row r="543" spans="2:2" x14ac:dyDescent="0.45">
      <c r="B543">
        <v>564</v>
      </c>
    </row>
    <row r="544" spans="2:2" x14ac:dyDescent="0.45">
      <c r="B544">
        <v>0</v>
      </c>
    </row>
    <row r="545" spans="2:2" x14ac:dyDescent="0.45">
      <c r="B545">
        <v>0</v>
      </c>
    </row>
    <row r="546" spans="2:2" x14ac:dyDescent="0.45">
      <c r="B546">
        <v>12</v>
      </c>
    </row>
    <row r="547" spans="2:2" x14ac:dyDescent="0.45">
      <c r="B547">
        <v>165</v>
      </c>
    </row>
    <row r="548" spans="2:2" x14ac:dyDescent="0.45">
      <c r="B548">
        <v>324</v>
      </c>
    </row>
    <row r="549" spans="2:2" x14ac:dyDescent="0.45">
      <c r="B549">
        <v>408</v>
      </c>
    </row>
    <row r="550" spans="2:2" x14ac:dyDescent="0.45">
      <c r="B550">
        <v>335</v>
      </c>
    </row>
    <row r="551" spans="2:2" x14ac:dyDescent="0.45">
      <c r="B551">
        <v>155</v>
      </c>
    </row>
    <row r="552" spans="2:2" x14ac:dyDescent="0.45">
      <c r="B552">
        <v>37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7511632F-8A34-4277-8D69-BE703EEAF648}">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75</vt:i4>
      </vt:variant>
    </vt:vector>
  </HeadingPairs>
  <TitlesOfParts>
    <vt:vector size="82" baseType="lpstr">
      <vt:lpstr>About</vt:lpstr>
      <vt:lpstr>Inputs</vt:lpstr>
      <vt:lpstr>Weeks</vt:lpstr>
      <vt:lpstr>Results</vt:lpstr>
      <vt:lpstr>ModelRiskDSN</vt:lpstr>
      <vt:lpstr>ModelRiskSYS1</vt:lpstr>
      <vt:lpstr>ModelRiskCharts</vt:lpstr>
      <vt:lpstr>Avoided</vt:lpstr>
      <vt:lpstr>Checks</vt:lpstr>
      <vt:lpstr>Crash_1</vt:lpstr>
      <vt:lpstr>Crash_10</vt:lpstr>
      <vt:lpstr>Crash_11</vt:lpstr>
      <vt:lpstr>Crash_12</vt:lpstr>
      <vt:lpstr>Crash_13</vt:lpstr>
      <vt:lpstr>Crash_14</vt:lpstr>
      <vt:lpstr>Crash_15</vt:lpstr>
      <vt:lpstr>Crash_16</vt:lpstr>
      <vt:lpstr>Crash_17</vt:lpstr>
      <vt:lpstr>Crash_18</vt:lpstr>
      <vt:lpstr>Crash_19</vt:lpstr>
      <vt:lpstr>Crash_2</vt:lpstr>
      <vt:lpstr>Crash_20</vt:lpstr>
      <vt:lpstr>Crash_21</vt:lpstr>
      <vt:lpstr>Crash_22</vt:lpstr>
      <vt:lpstr>Crash_23</vt:lpstr>
      <vt:lpstr>Crash_24</vt:lpstr>
      <vt:lpstr>Crash_25</vt:lpstr>
      <vt:lpstr>Crash_26</vt:lpstr>
      <vt:lpstr>Crash_27</vt:lpstr>
      <vt:lpstr>Crash_28</vt:lpstr>
      <vt:lpstr>Crash_29</vt:lpstr>
      <vt:lpstr>Crash_3</vt:lpstr>
      <vt:lpstr>Crash_30</vt:lpstr>
      <vt:lpstr>Crash_31</vt:lpstr>
      <vt:lpstr>Crash_32</vt:lpstr>
      <vt:lpstr>Crash_33</vt:lpstr>
      <vt:lpstr>Crash_34</vt:lpstr>
      <vt:lpstr>Crash_35</vt:lpstr>
      <vt:lpstr>Crash_36</vt:lpstr>
      <vt:lpstr>Crash_37</vt:lpstr>
      <vt:lpstr>Crash_38</vt:lpstr>
      <vt:lpstr>Crash_39</vt:lpstr>
      <vt:lpstr>Crash_4</vt:lpstr>
      <vt:lpstr>Crash_40</vt:lpstr>
      <vt:lpstr>Crash_41</vt:lpstr>
      <vt:lpstr>Crash_42</vt:lpstr>
      <vt:lpstr>Crash_43</vt:lpstr>
      <vt:lpstr>Crash_44</vt:lpstr>
      <vt:lpstr>Crash_45</vt:lpstr>
      <vt:lpstr>Crash_46</vt:lpstr>
      <vt:lpstr>Crash_47</vt:lpstr>
      <vt:lpstr>Crash_48</vt:lpstr>
      <vt:lpstr>Crash_49</vt:lpstr>
      <vt:lpstr>Crash_5</vt:lpstr>
      <vt:lpstr>Crash_50</vt:lpstr>
      <vt:lpstr>Crash_51</vt:lpstr>
      <vt:lpstr>Crash_52</vt:lpstr>
      <vt:lpstr>Crash_6</vt:lpstr>
      <vt:lpstr>Crash_7</vt:lpstr>
      <vt:lpstr>Crash_8</vt:lpstr>
      <vt:lpstr>Crash_9</vt:lpstr>
      <vt:lpstr>Effect</vt:lpstr>
      <vt:lpstr>ExpNoLaw</vt:lpstr>
      <vt:lpstr>FirstWeek</vt:lpstr>
      <vt:lpstr>Growth</vt:lpstr>
      <vt:lpstr>InputMeans</vt:lpstr>
      <vt:lpstr>LastWeek</vt:lpstr>
      <vt:lpstr>LawEffect</vt:lpstr>
      <vt:lpstr>LawEffect_Hi</vt:lpstr>
      <vt:lpstr>LawEffect_Lo</vt:lpstr>
      <vt:lpstr>LawEffect_Mean</vt:lpstr>
      <vt:lpstr>LawEffect_ML</vt:lpstr>
      <vt:lpstr>LawWeek</vt:lpstr>
      <vt:lpstr>Passes</vt:lpstr>
      <vt:lpstr>PLaw</vt:lpstr>
      <vt:lpstr>Results!Print_Area</vt:lpstr>
      <vt:lpstr>Inputs!Print_Titles</vt:lpstr>
      <vt:lpstr>Results!Print_Titles</vt:lpstr>
      <vt:lpstr>SIAvg</vt:lpstr>
      <vt:lpstr>Start</vt:lpstr>
      <vt:lpstr>Total</vt:lpstr>
      <vt:lpstr>WeeklyGrowth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GU-08 Counts of Random Events with Trend and Seasonality</dc:title>
  <dc:subject>ModelRisk industry example library — General use</dc:subject>
  <dc:creator>Vose Software</dc:creator>
  <cp:keywords>ModelRisk; Monte Carlo; General use</cp:keywords>
  <dc:description>Weekly car crashes for a year: a Poisson series with growth, seasons and a law that may cut them.</dc:description>
  <cp:lastModifiedBy>Timour Koupeev</cp:lastModifiedBy>
  <cp:lastPrinted>2026-10-07T13:19:07Z</cp:lastPrinted>
  <dcterms:created xsi:type="dcterms:W3CDTF">2026-10-07T13:17:13Z</dcterms:created>
  <dcterms:modified xsi:type="dcterms:W3CDTF">2026-10-07T13:19:11Z</dcterms:modified>
</cp:coreProperties>
</file>