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D257A711-08EF-4D7C-A970-74A00D8BEB9C}"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Activities" sheetId="3" r:id="rId3"/>
    <sheet name="Results" sheetId="4" r:id="rId4"/>
    <sheet name="ModelRiskDSN" sheetId="5" state="hidden" r:id="rId5"/>
    <sheet name="ModelRiskSYS1" sheetId="6" state="hidden" r:id="rId6"/>
    <sheet name="ModelRiskCharts" sheetId="7" state="hidden" r:id="rId7"/>
  </sheets>
  <definedNames>
    <definedName name="Base1">Inputs!$D$11</definedName>
    <definedName name="Base1_Hi">Inputs!$H$11</definedName>
    <definedName name="Base1_Lo">Inputs!$F$11</definedName>
    <definedName name="Base1_ML">Inputs!$G$11</definedName>
    <definedName name="Base2">Inputs!$D$12</definedName>
    <definedName name="Base2_Hi">Inputs!$H$12</definedName>
    <definedName name="Base2_Lo">Inputs!$F$12</definedName>
    <definedName name="Base2_ML">Inputs!$G$12</definedName>
    <definedName name="Base3">Inputs!$D$13</definedName>
    <definedName name="Base3_Hi">Inputs!$H$13</definedName>
    <definedName name="Base3_Lo">Inputs!$F$13</definedName>
    <definedName name="Base3_ML">Inputs!$G$13</definedName>
    <definedName name="Base4">Inputs!$D$14</definedName>
    <definedName name="Base4_Hi">Inputs!$H$14</definedName>
    <definedName name="Base4_Lo">Inputs!$F$14</definedName>
    <definedName name="Base4_ML">Inputs!$G$14</definedName>
    <definedName name="Base5">Inputs!$D$15</definedName>
    <definedName name="Base5_Hi">Inputs!$H$15</definedName>
    <definedName name="Base5_Lo">Inputs!$F$15</definedName>
    <definedName name="Base5_ML">Inputs!$G$15</definedName>
    <definedName name="Base6">Inputs!$D$16</definedName>
    <definedName name="Base6_Hi">Inputs!$H$16</definedName>
    <definedName name="Base6_Lo">Inputs!$F$16</definedName>
    <definedName name="Base6_ML">Inputs!$G$16</definedName>
    <definedName name="Checks">Activities!$F$50:$F$51</definedName>
    <definedName name="Deadline">Inputs!$D$20</definedName>
    <definedName name="DurO_Dig">Activities!$I$32</definedName>
    <definedName name="DurO_Lay">Activities!$I$34</definedName>
    <definedName name="DurS_Dig">Activities!$F$32</definedName>
    <definedName name="DurS_Lay">Activities!$F$34</definedName>
    <definedName name="LateOwn">Activities!$E$46</definedName>
    <definedName name="LateShared">Activities!$E$45</definedName>
    <definedName name="_xlnm.Print_Area" localSheetId="3">Results!$A$1:$R$45</definedName>
    <definedName name="_xlnm.Print_Titles" localSheetId="1">Inputs!$1:$4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alBase">Activities!$E$42</definedName>
    <definedName name="TotalOwn">Activities!$E$44</definedName>
    <definedName name="TotalShared">Activities!$E$43</definedName>
    <definedName name="Weather">Activities!$D$14</definedName>
    <definedName name="WeatherProbs">Activities!$D$9:$D$13</definedName>
    <definedName name="WeatherVals">Activities!$B$9:$B$13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0" i="4" l="1"/>
  <c r="C100" i="4"/>
  <c r="G99" i="4"/>
  <c r="C99" i="4"/>
  <c r="G98" i="4"/>
  <c r="C98" i="4"/>
  <c r="G97" i="4"/>
  <c r="C97" i="4"/>
  <c r="G96" i="4"/>
  <c r="C96" i="4"/>
  <c r="G95" i="4"/>
  <c r="C95" i="4"/>
  <c r="G94" i="4"/>
  <c r="C94" i="4"/>
  <c r="G93" i="4"/>
  <c r="C93" i="4"/>
  <c r="G92" i="4"/>
  <c r="C92" i="4"/>
  <c r="G91" i="4"/>
  <c r="C91" i="4"/>
  <c r="G90" i="4"/>
  <c r="C90" i="4"/>
  <c r="G89" i="4"/>
  <c r="C89" i="4"/>
  <c r="G88" i="4"/>
  <c r="C88" i="4"/>
  <c r="G87" i="4"/>
  <c r="C87" i="4"/>
  <c r="G86" i="4"/>
  <c r="C86" i="4"/>
  <c r="G85" i="4"/>
  <c r="C85" i="4"/>
  <c r="G84" i="4"/>
  <c r="C84" i="4"/>
  <c r="G83" i="4"/>
  <c r="C83" i="4"/>
  <c r="G82" i="4"/>
  <c r="C82" i="4"/>
  <c r="G81" i="4"/>
  <c r="C81" i="4"/>
  <c r="G80" i="4"/>
  <c r="C80" i="4"/>
  <c r="G79" i="4"/>
  <c r="C79" i="4"/>
  <c r="G78" i="4"/>
  <c r="C78" i="4"/>
  <c r="G77" i="4"/>
  <c r="C77" i="4"/>
  <c r="G76" i="4"/>
  <c r="C76" i="4"/>
  <c r="G75" i="4"/>
  <c r="C75" i="4"/>
  <c r="G74" i="4"/>
  <c r="C74" i="4"/>
  <c r="G73" i="4"/>
  <c r="C73" i="4"/>
  <c r="G72" i="4"/>
  <c r="C72" i="4"/>
  <c r="G71" i="4"/>
  <c r="C71" i="4"/>
  <c r="G70" i="4"/>
  <c r="C70" i="4"/>
  <c r="G69" i="4"/>
  <c r="C69" i="4"/>
  <c r="G68" i="4"/>
  <c r="C68" i="4"/>
  <c r="G67" i="4"/>
  <c r="C67" i="4"/>
  <c r="G66" i="4"/>
  <c r="C66" i="4"/>
  <c r="G65" i="4"/>
  <c r="C65" i="4"/>
  <c r="G64" i="4"/>
  <c r="C64" i="4"/>
  <c r="G63" i="4"/>
  <c r="C63" i="4"/>
  <c r="G62" i="4"/>
  <c r="C62" i="4"/>
  <c r="G61" i="4"/>
  <c r="C61" i="4"/>
  <c r="G60" i="4"/>
  <c r="C60" i="4"/>
  <c r="G59" i="4"/>
  <c r="C59" i="4"/>
  <c r="G58" i="4"/>
  <c r="C58" i="4"/>
  <c r="G57" i="4"/>
  <c r="C57" i="4"/>
  <c r="G56" i="4"/>
  <c r="C56" i="4"/>
  <c r="G55" i="4"/>
  <c r="C55" i="4"/>
  <c r="G54" i="4"/>
  <c r="C54" i="4"/>
  <c r="G53" i="4"/>
  <c r="C53" i="4"/>
  <c r="G52" i="4"/>
  <c r="C52" i="4"/>
  <c r="G51" i="4"/>
  <c r="C51" i="4"/>
  <c r="F51" i="3"/>
  <c r="F50" i="3"/>
  <c r="B7" i="4"/>
  <c r="G36" i="3" a="1"/>
  <c r="G31" i="3" a="1"/>
  <c r="G34" i="3" a="1"/>
  <c r="G32" i="3" a="1"/>
  <c r="G35" i="3" a="1"/>
  <c r="G33" i="3" a="1"/>
  <c r="D14" i="3" a="1"/>
  <c r="D13" i="2" a="1"/>
  <c r="D14" i="2" a="1"/>
  <c r="D11" i="2" a="1"/>
  <c r="D16" i="2" a="1"/>
  <c r="D12" i="2" a="1"/>
  <c r="D15" i="2" a="1"/>
  <c r="D14" i="3" l="1"/>
  <c r="G33" i="3"/>
  <c r="H33" i="3" s="1" a="1"/>
  <c r="H33" i="3" s="1"/>
  <c r="G35" i="3"/>
  <c r="H35" i="3" s="1" a="1"/>
  <c r="H35" i="3" s="1"/>
  <c r="G32" i="3"/>
  <c r="H32" i="3" s="1" a="1"/>
  <c r="H32" i="3" s="1"/>
  <c r="G34" i="3"/>
  <c r="H34" i="3" s="1" a="1"/>
  <c r="H34" i="3" s="1"/>
  <c r="G31" i="3"/>
  <c r="H31" i="3" s="1" a="1"/>
  <c r="H31" i="3" s="1"/>
  <c r="G36" i="3"/>
  <c r="H36" i="3" s="1" a="1"/>
  <c r="H36" i="3" s="1"/>
  <c r="D15" i="2"/>
  <c r="D35" i="3" s="1"/>
  <c r="D12" i="2"/>
  <c r="D32" i="3" s="1"/>
  <c r="D16" i="2"/>
  <c r="D36" i="3" s="1"/>
  <c r="D11" i="2"/>
  <c r="D31" i="3" s="1"/>
  <c r="D14" i="2"/>
  <c r="D34" i="3" s="1"/>
  <c r="D13" i="2"/>
  <c r="D33" i="3" s="1"/>
  <c r="I33" i="3" l="1"/>
  <c r="I35" i="3"/>
  <c r="I34" i="3"/>
  <c r="I31" i="3"/>
  <c r="D37" i="3"/>
  <c r="E42" i="3" s="1" a="1"/>
  <c r="E42" i="3" s="1"/>
  <c r="I36" i="3"/>
  <c r="I32" i="3"/>
  <c r="E33" i="3" a="1"/>
  <c r="E33" i="3" s="1"/>
  <c r="F33" i="3" s="1"/>
  <c r="E31" i="3" a="1"/>
  <c r="E31" i="3" s="1"/>
  <c r="F31" i="3" s="1"/>
  <c r="E36" i="3" a="1"/>
  <c r="E36" i="3" s="1"/>
  <c r="F36" i="3" s="1"/>
  <c r="E35" i="3" a="1"/>
  <c r="E35" i="3" s="1"/>
  <c r="F35" i="3" s="1"/>
  <c r="E34" i="3" a="1"/>
  <c r="E34" i="3" s="1"/>
  <c r="F34" i="3" s="1"/>
  <c r="E32" i="3" a="1"/>
  <c r="E32" i="3" s="1"/>
  <c r="F32" i="3" s="1"/>
  <c r="D26" i="4" a="1"/>
  <c r="F97" i="4" a="1"/>
  <c r="F93" i="4" a="1"/>
  <c r="F92" i="4" a="1"/>
  <c r="F66" i="4" a="1"/>
  <c r="F84" i="4" a="1"/>
  <c r="F85" i="4" a="1"/>
  <c r="F83" i="4" a="1"/>
  <c r="D12" i="4" a="1"/>
  <c r="F65" i="4" a="1"/>
  <c r="F70" i="4" a="1"/>
  <c r="F75" i="4" a="1"/>
  <c r="F96" i="4" a="1"/>
  <c r="F57" i="4" a="1"/>
  <c r="F58" i="4" a="1"/>
  <c r="F71" i="4" a="1"/>
  <c r="F88" i="4" a="1"/>
  <c r="F53" i="4" a="1"/>
  <c r="F51" i="4" a="1"/>
  <c r="F98" i="4" a="1"/>
  <c r="E12" i="4" a="1"/>
  <c r="F82" i="4" a="1"/>
  <c r="F89" i="4" a="1"/>
  <c r="F54" i="4" a="1"/>
  <c r="F79" i="4" a="1"/>
  <c r="F100" i="4" a="1"/>
  <c r="F61" i="4" a="1"/>
  <c r="D18" i="4" a="1"/>
  <c r="F67" i="4" a="1"/>
  <c r="F80" i="4" a="1"/>
  <c r="F95" i="4" a="1"/>
  <c r="F68" i="4" a="1"/>
  <c r="F77" i="4" a="1"/>
  <c r="F74" i="4" a="1"/>
  <c r="F91" i="4" a="1"/>
  <c r="F59" i="4" a="1"/>
  <c r="F60" i="4" a="1"/>
  <c r="F64" i="4" a="1"/>
  <c r="F73" i="4" a="1"/>
  <c r="F78" i="4" a="1"/>
  <c r="F12" i="4" a="1"/>
  <c r="F99" i="4" a="1"/>
  <c r="F76" i="4" a="1"/>
  <c r="F81" i="4" a="1"/>
  <c r="G12" i="4" a="1"/>
  <c r="F90" i="4" a="1"/>
  <c r="F63" i="4" a="1"/>
  <c r="F72" i="4" a="1"/>
  <c r="F94" i="4" a="1"/>
  <c r="F87" i="4" a="1"/>
  <c r="F55" i="4" a="1"/>
  <c r="F56" i="4" a="1"/>
  <c r="F52" i="4" a="1"/>
  <c r="F69" i="4" a="1"/>
  <c r="F62" i="4" a="1"/>
  <c r="F86" i="4" a="1"/>
  <c r="D25" i="4" a="1"/>
  <c r="D25" i="4" l="1"/>
  <c r="F86" i="4"/>
  <c r="F62" i="4"/>
  <c r="F69" i="4"/>
  <c r="F52" i="4"/>
  <c r="F56" i="4"/>
  <c r="F55" i="4"/>
  <c r="F87" i="4"/>
  <c r="F94" i="4"/>
  <c r="F72" i="4"/>
  <c r="F63" i="4"/>
  <c r="F90" i="4"/>
  <c r="G12" i="4"/>
  <c r="F81" i="4"/>
  <c r="F76" i="4"/>
  <c r="F99" i="4"/>
  <c r="F12" i="4"/>
  <c r="F78" i="4"/>
  <c r="F73" i="4"/>
  <c r="F64" i="4"/>
  <c r="F60" i="4"/>
  <c r="F59" i="4"/>
  <c r="F91" i="4"/>
  <c r="F74" i="4"/>
  <c r="F77" i="4"/>
  <c r="F68" i="4"/>
  <c r="F95" i="4"/>
  <c r="F80" i="4"/>
  <c r="F67" i="4"/>
  <c r="D18" i="4"/>
  <c r="F61" i="4"/>
  <c r="F100" i="4"/>
  <c r="F79" i="4"/>
  <c r="F54" i="4"/>
  <c r="F89" i="4"/>
  <c r="F82" i="4"/>
  <c r="E12" i="4"/>
  <c r="F98" i="4"/>
  <c r="F51" i="4"/>
  <c r="F53" i="4"/>
  <c r="F88" i="4"/>
  <c r="F71" i="4"/>
  <c r="F58" i="4"/>
  <c r="F57" i="4"/>
  <c r="F96" i="4"/>
  <c r="F75" i="4"/>
  <c r="F70" i="4"/>
  <c r="F65" i="4"/>
  <c r="D12" i="4"/>
  <c r="F83" i="4"/>
  <c r="F85" i="4"/>
  <c r="F84" i="4"/>
  <c r="F66" i="4"/>
  <c r="F92" i="4"/>
  <c r="F93" i="4"/>
  <c r="F97" i="4"/>
  <c r="D26" i="4"/>
  <c r="I37" i="3"/>
  <c r="E44" i="3" s="1" a="1"/>
  <c r="E44" i="3" s="1"/>
  <c r="F37" i="3"/>
  <c r="E43" i="3" s="1" a="1"/>
  <c r="E43" i="3" s="1"/>
  <c r="E87" i="4" a="1"/>
  <c r="E84" i="4" a="1"/>
  <c r="E94" i="4" a="1"/>
  <c r="E80" i="4" a="1"/>
  <c r="E90" i="4" a="1"/>
  <c r="E76" i="4" a="1"/>
  <c r="E63" i="4" a="1"/>
  <c r="E81" i="4" a="1"/>
  <c r="E66" i="4" a="1"/>
  <c r="E75" i="4" a="1"/>
  <c r="E52" i="4" a="1"/>
  <c r="E58" i="4" a="1"/>
  <c r="E55" i="4" a="1"/>
  <c r="E89" i="4" a="1"/>
  <c r="E54" i="4" a="1"/>
  <c r="E51" i="4" a="1"/>
  <c r="E73" i="4" a="1"/>
  <c r="E98" i="4" a="1"/>
  <c r="F14" i="4" a="1"/>
  <c r="E79" i="4" a="1"/>
  <c r="E93" i="4" a="1"/>
  <c r="E71" i="4" a="1"/>
  <c r="E97" i="4" a="1"/>
  <c r="E86" i="4" a="1"/>
  <c r="E72" i="4" a="1"/>
  <c r="E62" i="4" a="1"/>
  <c r="E67" i="4" a="1"/>
  <c r="G14" i="4" a="1"/>
  <c r="E82" i="4" a="1"/>
  <c r="E59" i="4" a="1"/>
  <c r="E68" i="4" a="1"/>
  <c r="E85" i="4" a="1"/>
  <c r="E78" i="4" a="1"/>
  <c r="D14" i="4" a="1"/>
  <c r="E64" i="4" a="1"/>
  <c r="E77" i="4" a="1"/>
  <c r="E74" i="4" a="1"/>
  <c r="E99" i="4" a="1"/>
  <c r="E91" i="4" a="1"/>
  <c r="E92" i="4" a="1"/>
  <c r="E60" i="4" a="1"/>
  <c r="E61" i="4" a="1"/>
  <c r="E53" i="4" a="1"/>
  <c r="D17" i="4" a="1"/>
  <c r="E100" i="4" a="1"/>
  <c r="E57" i="4" a="1"/>
  <c r="E14" i="4" a="1"/>
  <c r="E96" i="4" a="1"/>
  <c r="E69" i="4" a="1"/>
  <c r="E70" i="4" a="1"/>
  <c r="E95" i="4" a="1"/>
  <c r="E83" i="4" a="1"/>
  <c r="E88" i="4" a="1"/>
  <c r="E56" i="4" a="1"/>
  <c r="E65" i="4" a="1"/>
  <c r="D91" i="4" a="1"/>
  <c r="D90" i="4" a="1"/>
  <c r="F13" i="4" a="1"/>
  <c r="D102" i="4" a="1"/>
  <c r="D83" i="4" a="1"/>
  <c r="D97" i="4" a="1"/>
  <c r="D79" i="4" a="1"/>
  <c r="D77" i="4" a="1"/>
  <c r="D78" i="4" a="1"/>
  <c r="D59" i="4" a="1"/>
  <c r="D60" i="4" a="1"/>
  <c r="D69" i="4" a="1"/>
  <c r="D62" i="4" a="1"/>
  <c r="D51" i="4" a="1"/>
  <c r="D80" i="4" a="1"/>
  <c r="B30" i="4" a="1"/>
  <c r="D65" i="4" a="1"/>
  <c r="D58" i="4" a="1"/>
  <c r="G13" i="4" a="1"/>
  <c r="D98" i="4" a="1"/>
  <c r="D52" i="4" a="1"/>
  <c r="D87" i="4" a="1"/>
  <c r="D82" i="4" a="1"/>
  <c r="D88" i="4" a="1"/>
  <c r="D74" i="4" a="1"/>
  <c r="D72" i="4" a="1"/>
  <c r="D73" i="4" a="1"/>
  <c r="D70" i="4" a="1"/>
  <c r="D55" i="4" a="1"/>
  <c r="D96" i="4" a="1"/>
  <c r="D61" i="4" a="1"/>
  <c r="D66" i="4" a="1"/>
  <c r="D75" i="4" a="1"/>
  <c r="D92" i="4" a="1"/>
  <c r="D57" i="4" a="1"/>
  <c r="D13" i="4" a="1"/>
  <c r="D100" i="4" a="1"/>
  <c r="D85" i="4" a="1"/>
  <c r="D53" i="4" a="1"/>
  <c r="D94" i="4" a="1"/>
  <c r="D99" i="4" a="1"/>
  <c r="D67" i="4" a="1"/>
  <c r="D84" i="4" a="1"/>
  <c r="D64" i="4" a="1"/>
  <c r="D93" i="4" a="1"/>
  <c r="D16" i="4" a="1"/>
  <c r="B6" i="4" a="1"/>
  <c r="D89" i="4" a="1"/>
  <c r="D54" i="4" a="1"/>
  <c r="D71" i="4" a="1"/>
  <c r="D76" i="4" a="1"/>
  <c r="D81" i="4" a="1"/>
  <c r="E13" i="4" a="1"/>
  <c r="D86" i="4" a="1"/>
  <c r="D95" i="4" a="1"/>
  <c r="D63" i="4" a="1"/>
  <c r="D68" i="4" a="1"/>
  <c r="D56" i="4" a="1"/>
  <c r="D56" i="4" l="1"/>
  <c r="D68" i="4"/>
  <c r="D63" i="4"/>
  <c r="D95" i="4"/>
  <c r="D86" i="4"/>
  <c r="E13" i="4"/>
  <c r="D81" i="4"/>
  <c r="D76" i="4"/>
  <c r="D71" i="4"/>
  <c r="D54" i="4"/>
  <c r="D89" i="4"/>
  <c r="B6" i="4"/>
  <c r="D16" i="4"/>
  <c r="D93" i="4"/>
  <c r="D64" i="4"/>
  <c r="D84" i="4"/>
  <c r="D67" i="4"/>
  <c r="D99" i="4"/>
  <c r="D94" i="4"/>
  <c r="D53" i="4"/>
  <c r="D85" i="4"/>
  <c r="D100" i="4"/>
  <c r="D13" i="4"/>
  <c r="D57" i="4"/>
  <c r="D92" i="4"/>
  <c r="D75" i="4"/>
  <c r="D66" i="4"/>
  <c r="D61" i="4"/>
  <c r="D96" i="4"/>
  <c r="D55" i="4"/>
  <c r="D70" i="4"/>
  <c r="D73" i="4"/>
  <c r="D72" i="4"/>
  <c r="D74" i="4"/>
  <c r="D88" i="4"/>
  <c r="D82" i="4"/>
  <c r="D87" i="4"/>
  <c r="D52" i="4"/>
  <c r="D98" i="4"/>
  <c r="G13" i="4"/>
  <c r="D58" i="4"/>
  <c r="D65" i="4"/>
  <c r="E36" i="4"/>
  <c r="D35" i="4"/>
  <c r="C31" i="4"/>
  <c r="E31" i="4"/>
  <c r="C33" i="4"/>
  <c r="E30" i="4"/>
  <c r="C36" i="4"/>
  <c r="B32" i="4"/>
  <c r="B106" i="4" s="1"/>
  <c r="C34" i="4"/>
  <c r="E34" i="4"/>
  <c r="D33" i="4"/>
  <c r="B35" i="4"/>
  <c r="B109" i="4" s="1"/>
  <c r="B34" i="4"/>
  <c r="B108" i="4" s="1"/>
  <c r="B30" i="4"/>
  <c r="B104" i="4" s="1"/>
  <c r="E32" i="4"/>
  <c r="B33" i="4"/>
  <c r="B107" i="4" s="1"/>
  <c r="D36" i="4"/>
  <c r="D34" i="4"/>
  <c r="C35" i="4"/>
  <c r="C30" i="4"/>
  <c r="D31" i="4"/>
  <c r="B31" i="4"/>
  <c r="B105" i="4" s="1"/>
  <c r="D32" i="4"/>
  <c r="B36" i="4"/>
  <c r="B110" i="4" s="1"/>
  <c r="D30" i="4"/>
  <c r="C32" i="4"/>
  <c r="E35" i="4"/>
  <c r="E33" i="4"/>
  <c r="D80" i="4"/>
  <c r="D51" i="4"/>
  <c r="D62" i="4"/>
  <c r="D69" i="4"/>
  <c r="D60" i="4"/>
  <c r="D59" i="4"/>
  <c r="D78" i="4"/>
  <c r="D77" i="4"/>
  <c r="D79" i="4"/>
  <c r="D97" i="4"/>
  <c r="D83" i="4"/>
  <c r="D102" i="4"/>
  <c r="F13" i="4"/>
  <c r="D90" i="4"/>
  <c r="D91" i="4"/>
  <c r="E65" i="4"/>
  <c r="E56" i="4"/>
  <c r="E88" i="4"/>
  <c r="E83" i="4"/>
  <c r="E95" i="4"/>
  <c r="E70" i="4"/>
  <c r="E69" i="4"/>
  <c r="E96" i="4"/>
  <c r="E14" i="4"/>
  <c r="E57" i="4"/>
  <c r="E100" i="4"/>
  <c r="D17" i="4"/>
  <c r="E53" i="4"/>
  <c r="E61" i="4"/>
  <c r="E60" i="4"/>
  <c r="E92" i="4"/>
  <c r="E91" i="4"/>
  <c r="E99" i="4"/>
  <c r="E74" i="4"/>
  <c r="E77" i="4"/>
  <c r="E64" i="4"/>
  <c r="D14" i="4"/>
  <c r="E78" i="4"/>
  <c r="E85" i="4"/>
  <c r="E68" i="4"/>
  <c r="E59" i="4"/>
  <c r="E82" i="4"/>
  <c r="G14" i="4"/>
  <c r="E67" i="4"/>
  <c r="E62" i="4"/>
  <c r="E72" i="4"/>
  <c r="E86" i="4"/>
  <c r="E97" i="4"/>
  <c r="E71" i="4"/>
  <c r="E93" i="4"/>
  <c r="E79" i="4"/>
  <c r="F14" i="4"/>
  <c r="E98" i="4"/>
  <c r="E73" i="4"/>
  <c r="E51" i="4"/>
  <c r="E54" i="4"/>
  <c r="E89" i="4"/>
  <c r="E55" i="4"/>
  <c r="E58" i="4"/>
  <c r="E52" i="4"/>
  <c r="E75" i="4"/>
  <c r="E66" i="4"/>
  <c r="E81" i="4"/>
  <c r="E63" i="4"/>
  <c r="E76" i="4"/>
  <c r="E90" i="4"/>
  <c r="E80" i="4"/>
  <c r="E94" i="4"/>
  <c r="E84" i="4"/>
  <c r="E87" i="4"/>
  <c r="E45" i="3"/>
  <c r="E46" i="3"/>
  <c r="D23" i="4" a="1"/>
  <c r="D24" i="4" a="1"/>
  <c r="F105" i="4" l="1"/>
  <c r="G107" i="4"/>
  <c r="G104" i="4"/>
  <c r="G109" i="4"/>
  <c r="F107" i="4"/>
  <c r="G105" i="4"/>
  <c r="G106" i="4"/>
  <c r="F108" i="4"/>
  <c r="F109" i="4"/>
  <c r="F104" i="4"/>
  <c r="F110" i="4"/>
  <c r="G108" i="4"/>
  <c r="D24" i="4"/>
  <c r="D23" i="4"/>
  <c r="F106" i="4"/>
  <c r="G11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<sst xmlns="http://schemas.openxmlformats.org/spreadsheetml/2006/main" count="281" uniqueCount="219">
  <si>
    <t>Correlation Through a Common Factor (Look-up Table)</t>
  </si>
  <si>
    <t>ModelRisk example  ·  General use  ·  GU-07</t>
  </si>
  <si>
    <t>How much later does a project finish when bad weather hits every activity at once?  Correlation through a common factor.</t>
  </si>
  <si>
    <t>Next:  Inputs  ▸</t>
  </si>
  <si>
    <t>Model card</t>
  </si>
  <si>
    <t>Industry</t>
  </si>
  <si>
    <t>General use</t>
  </si>
  <si>
    <t>Difficulty</t>
  </si>
  <si>
    <t>★★☆☆☆   One shared random factor and a look-up table make six durations move together, without a correlation matrix.</t>
  </si>
  <si>
    <t>Business question</t>
  </si>
  <si>
    <t>Six building activities in a row are all slowed by bad weather and sped up by good weather, each to its own degree. How long will the work take, and how much does it matter that they all face the same season rather than weather of their own?</t>
  </si>
  <si>
    <t>Who it is for</t>
  </si>
  <si>
    <t>Anyone who has to correlate many variables that depend on one outside influence: weather, the economy, a market, an exchange rate.</t>
  </si>
  <si>
    <t>Main outputs</t>
  </si>
  <si>
    <t>Total time at P10 / median / P90 with no weather effect, with one shared season, and with independent weather for each activity · the chance of missing the deadline both ways · the correlation the shared weather creates · the drivers.</t>
  </si>
  <si>
    <t>ModelRisk techniques</t>
  </si>
  <si>
    <t>A common factor (VoseDiscrete weather index) and a look-up table of its effect on each activity (INDEX) · the same base durations with shared and with independent weather, to isolate the effect of sharing · VoseSimCorrelation · tornado ranking (VoseSimSensitivityMean).</t>
  </si>
  <si>
    <t>File</t>
  </si>
  <si>
    <t>GU-07 Correlation through a common factor  ·  Version 1.0  ·  October 2026  ·  re-issues the example Correlation Using Look-up Tables  ·  built with ModelRisk 10</t>
  </si>
  <si>
    <t>The business question</t>
  </si>
  <si>
    <t>A contractor schedules six activities one after the other: archaeology, digging the foundations, formwork, laying the foundations, walls and floors, and the roofing. Each has a three-point estimate for normal weather. The season's weather is graded from 1 (very poor) to 5 (very good), and a table says how much each activity's duration changes with it: in very poor weather laying the foundations takes 40% longer, in very good weather 18% less. All six activities face the same season, so the weather makes them late or early together. The model compares three versions from the same base durations: no weather effect, one shared season, and a season of its own for each activity.</t>
  </si>
  <si>
    <t>How the model works</t>
  </si>
  <si>
    <t>Three sheets after this one, read from left to right. Each one feeds the next.</t>
  </si>
  <si>
    <t>1  Inputs</t>
  </si>
  <si>
    <t>Each activity's duration in normal weather as a triangular distribution, and the deadline.</t>
  </si>
  <si>
    <t>2  Activities</t>
  </si>
  <si>
    <t>The weather table gives each activity's change in duration for each grade. With shared weather, one draw of the weather index picks the column for every activity (INDEX); with independent weather each activity draws its own index. Both versions use the same base durations.</t>
  </si>
  <si>
    <t>3  Results</t>
  </si>
  <si>
    <t>The total time in the three versions, the chance of missing the deadline with shared and with independent weather, the correlation between two activities, and the tornado.</t>
  </si>
  <si>
    <t>How to use it</t>
  </si>
  <si>
    <t>Step 1</t>
  </si>
  <si>
    <t>Change the base durations and the deadline on the Inputs sheet.</t>
  </si>
  <si>
    <t>Step 2</t>
  </si>
  <si>
    <t>Change the weather's chances and its table on the Activities sheet: one row per activity, one column per grade.</t>
  </si>
  <si>
    <t>Step 3</t>
  </si>
  <si>
    <t>Run a simulation from the ModelRisk ribbon (10,000 samples with a fixed seed are set).</t>
  </si>
  <si>
    <t>Step 4</t>
  </si>
  <si>
    <t>Compare the shared and the independent versions: the difference is what ignoring the correlation would hide.</t>
  </si>
  <si>
    <t>Workbook map</t>
  </si>
  <si>
    <t>Inputs</t>
  </si>
  <si>
    <t>Base durations and the deadline.</t>
  </si>
  <si>
    <t>Activities</t>
  </si>
  <si>
    <t>The weather's chances and effects, and this iteration's durations in the three versions; outputs and checks.</t>
  </si>
  <si>
    <t>Results</t>
  </si>
  <si>
    <t>Totals three ways, deadline, correlation and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</si>
  <si>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</si>
  <si>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</si>
  <si>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</si>
  <si>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</si>
  <si>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</si>
  <si>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</si>
  <si>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</si>
  <si>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</si>
  <si>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</si>
  <si>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</si>
  <si>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</si>
  <si>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</si>
  <si>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</si>
  <si>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Weeks.</t>
  </si>
  <si>
    <t>Weather index</t>
  </si>
  <si>
    <t>1 very poor, 2 poor, 3 normal, 4 good, 5 very good.</t>
  </si>
  <si>
    <t>Change</t>
  </si>
  <si>
    <t>The percentage added to (or taken off) an activity's normal-weather duration.</t>
  </si>
  <si>
    <t>Key assumptions and limitations</t>
  </si>
  <si>
    <t>In sequence</t>
  </si>
  <si>
    <t>The six activities run one after the other; the total is their sum.</t>
  </si>
  <si>
    <t>One season</t>
  </si>
  <si>
    <t>With shared weather, the whole job sees one season's weather; the independent version is for comparison only.</t>
  </si>
  <si>
    <t>Data</t>
  </si>
  <si>
    <t>The activities, durations, weather table and weather weights are those of ModelRisk's earlier Correlation Using Look-up Tables example.</t>
  </si>
  <si>
    <t>ModelRisk functions used</t>
  </si>
  <si>
    <t>VoseTriangle</t>
  </si>
  <si>
    <t>Each activity's duration in normal weather.</t>
  </si>
  <si>
    <t>VoseDiscrete</t>
  </si>
  <si>
    <t>The weather index: once for the shared season, once per activity for the independent version.</t>
  </si>
  <si>
    <t>INDEX  (Excel)</t>
  </si>
  <si>
    <t>The look-up: the change in duration for this weather grade, from the activity's row of the table.</t>
  </si>
  <si>
    <t>VoseInput, VoseOutput</t>
  </si>
  <si>
    <t>Name the base durations, the weather and the three totals.</t>
  </si>
  <si>
    <t>VoseSimCorrelation</t>
  </si>
  <si>
    <t>The rank correlation the shared weather creates between two activities.</t>
  </si>
  <si>
    <t>VoseSimMean, VoseSimStdev, VoseSimPercentile</t>
  </si>
  <si>
    <t>Statistics of the simulation.</t>
  </si>
  <si>
    <t>VoseSimSensitivityMean</t>
  </si>
  <si>
    <t>The tornado chart: what moves the mean total with shared weather.</t>
  </si>
  <si>
    <t>Further reading</t>
  </si>
  <si>
    <t>Correlation</t>
  </si>
  <si>
    <t>Vose, D. (2008). Risk Analysis: A Quantitative Guide, 3rd edition. Wiley: modelling correlation through a common factor and look-up tables.</t>
  </si>
  <si>
    <t>© 2026 Vose Software   ·   www.vosesoftware.com   ·   An illustrative example: the figures are invented for teaching and do not describe a real company, project or asset.</t>
  </si>
  <si>
    <t>INPUTS   ·   Base durations and the deadline. The weather's chances and its effect on each activity are tables on the Activities sheet. Change only the yellow cells.</t>
  </si>
  <si>
    <t>◂  About</t>
  </si>
  <si>
    <t>Next:  Activities  ▸</t>
  </si>
  <si>
    <t>How to read this sheet:  yellow cells are inputs.  Orange cells hold ModelRisk distributions and show the current random sample (press F9 to draw again).</t>
  </si>
  <si>
    <t>1   Base durations</t>
  </si>
  <si>
    <t>Each activity's duration in normal weather (weeks).</t>
  </si>
  <si>
    <t>Assumption</t>
  </si>
  <si>
    <t>Unit</t>
  </si>
  <si>
    <t>Value in model</t>
  </si>
  <si>
    <t>Uncertainty</t>
  </si>
  <si>
    <t>Low</t>
  </si>
  <si>
    <t>Most likely</t>
  </si>
  <si>
    <t>High</t>
  </si>
  <si>
    <t>Mean</t>
  </si>
  <si>
    <t>Basis / source (illustrative)</t>
  </si>
  <si>
    <t>Archaeology</t>
  </si>
  <si>
    <t>weeks</t>
  </si>
  <si>
    <t>Triangle</t>
  </si>
  <si>
    <t>Low, most likely and high, as in the original example.</t>
  </si>
  <si>
    <t>Dig foundations</t>
  </si>
  <si>
    <t>Formwork</t>
  </si>
  <si>
    <t>Lay foundations</t>
  </si>
  <si>
    <t>Walls and floors</t>
  </si>
  <si>
    <t>Lay roofing</t>
  </si>
  <si>
    <t>2   Deadline</t>
  </si>
  <si>
    <t>Deadline for the six activities</t>
  </si>
  <si>
    <t>Fixed</t>
  </si>
  <si>
    <t>About five weeks more than with no weather effect.</t>
  </si>
  <si>
    <t>ACTIVITIES   ·   The weather's effect on each activity, and this iteration's durations with shared and with independent weather.</t>
  </si>
  <si>
    <t>◂  Inputs</t>
  </si>
  <si>
    <t>Next:  Results  ▸</t>
  </si>
  <si>
    <t>1   The weather</t>
  </si>
  <si>
    <t>Yellow cells are inputs: the chance of each grade (the original's weights 2, 5, 4, 3, 2 out of 16).</t>
  </si>
  <si>
    <t>Grade</t>
  </si>
  <si>
    <t>Weather</t>
  </si>
  <si>
    <t>Probability</t>
  </si>
  <si>
    <t>Very poor</t>
  </si>
  <si>
    <t>Poor</t>
  </si>
  <si>
    <t>Normal</t>
  </si>
  <si>
    <t>Good</t>
  </si>
  <si>
    <t>Very good</t>
  </si>
  <si>
    <t>Weather index this season</t>
  </si>
  <si>
    <t>VoseDiscrete(grades, probabilities): one draw shared by every activity</t>
  </si>
  <si>
    <t>2   How the weather changes each activity</t>
  </si>
  <si>
    <t>Yellow cells are inputs: the change in duration for each weather grade.</t>
  </si>
  <si>
    <t>ID</t>
  </si>
  <si>
    <t>Activity</t>
  </si>
  <si>
    <t>Weather grade</t>
  </si>
  <si>
    <t>1  very poor</t>
  </si>
  <si>
    <t>2  poor</t>
  </si>
  <si>
    <t>3  normal</t>
  </si>
  <si>
    <t>4  good</t>
  </si>
  <si>
    <t>5  very good</t>
  </si>
  <si>
    <t>+40% = 40% longer than in normal weather</t>
  </si>
  <si>
    <t>3   This iteration</t>
  </si>
  <si>
    <t>The same base durations in three versions: no weather effect, the season's weather shared by every activity, and a weather draw of its own for each activity.</t>
  </si>
  <si>
    <t>Base</t>
  </si>
  <si>
    <t>Shared weather</t>
  </si>
  <si>
    <t>Independent weather</t>
  </si>
  <si>
    <t>How it is calculated</t>
  </si>
  <si>
    <t>change</t>
  </si>
  <si>
    <t>own index</t>
  </si>
  <si>
    <t>Base: from the Inputs sheet (VoseTriangle)</t>
  </si>
  <si>
    <t>Shared: INDEX(the activity's row, the season's weather index)</t>
  </si>
  <si>
    <t>Duration = base × (1 + change)</t>
  </si>
  <si>
    <t>Independent: each activity draws its own index (VoseDiscrete)</t>
  </si>
  <si>
    <t>Same base durations in every version</t>
  </si>
  <si>
    <t>Total</t>
  </si>
  <si>
    <t>4   Value in this iteration</t>
  </si>
  <si>
    <t>Key outputs, recorded by ModelRisk at every sample (VoseOutput). Their statistics appear on the Results sheet.</t>
  </si>
  <si>
    <t>Output</t>
  </si>
  <si>
    <t>Value</t>
  </si>
  <si>
    <t>Meaning</t>
  </si>
  <si>
    <t>Total, no weather effect</t>
  </si>
  <si>
    <t>Total, shared weather</t>
  </si>
  <si>
    <t>The real case: one season for the whole job.</t>
  </si>
  <si>
    <t>Total, independent weather</t>
  </si>
  <si>
    <t>For comparison only.</t>
  </si>
  <si>
    <t>Late, shared weather?  (1 = yes)</t>
  </si>
  <si>
    <t>1 / 0</t>
  </si>
  <si>
    <t>Late, independent weather?  (1 = yes)</t>
  </si>
  <si>
    <t>5   Model checks</t>
  </si>
  <si>
    <t>Should all read OK. A CHECK means an input has been set outside the range the model is built for.</t>
  </si>
  <si>
    <t>Normal weather (grade 3) changes nothing</t>
  </si>
  <si>
    <t>The weather's chances add up to 100%</t>
  </si>
  <si>
    <t>RESULTS   ·   Filled in automatically from the last simulation. Run a simulation after changing any input.</t>
  </si>
  <si>
    <t>◂  Activities</t>
  </si>
  <si>
    <t>1   Total time three ways</t>
  </si>
  <si>
    <t>Total time — three versions</t>
  </si>
  <si>
    <t>The same base durations with no weather effect, with the season shared by every activity, and with independent weather for each.</t>
  </si>
  <si>
    <t>Measure</t>
  </si>
  <si>
    <t>10th pct</t>
  </si>
  <si>
    <t>Median</t>
  </si>
  <si>
    <t>90th pct</t>
  </si>
  <si>
    <t>No weather effect</t>
  </si>
  <si>
    <t>Standard deviation, shared weather</t>
  </si>
  <si>
    <t>Standard deviation, independent weather</t>
  </si>
  <si>
    <t>Standard deviation, no weather effect</t>
  </si>
  <si>
    <t>2   What sharing the weather does</t>
  </si>
  <si>
    <t>The deadline is on the Inputs sheet.</t>
  </si>
  <si>
    <t>Chance of missing the deadline, shared weather</t>
  </si>
  <si>
    <t>probability</t>
  </si>
  <si>
    <t>Chance of missing the deadline, independent weather</t>
  </si>
  <si>
    <t>Rank correlation, digging and laying foundations: shared</t>
  </si>
  <si>
    <t>Rank correlation, digging and laying foundations: independent</t>
  </si>
  <si>
    <t>3   What moves the total</t>
  </si>
  <si>
    <t>What moves the total, shared weather  (weeks)</t>
  </si>
  <si>
    <t>Lowest and highest mean total with shared weather over ten equal groups of each input (VoseSimSensitivityMean).</t>
  </si>
  <si>
    <t>Input (ranked by influence)</t>
  </si>
  <si>
    <t>Lowest mean</t>
  </si>
  <si>
    <t>Highest mean</t>
  </si>
  <si>
    <t>Rank</t>
  </si>
  <si>
    <t>4   How to read these results</t>
  </si>
  <si>
    <t>•  The weather adds about 2.7 weeks on average in both weather versions: sharing the season does not change the mean.</t>
  </si>
  <si>
    <t>•  It changes the spread. With one season for the whole job, the standard deviation is about 5.3 weeks against 3.1 with independent weather, and the 90th percentile about 60 weeks against 57: a bad season slows every activity at once, while independent weather averages out.</t>
  </si>
  <si>
    <t>•  So the chance of missing the 55-week deadline is about 37% with shared weather, and only about 23% if the correlation were ignored.</t>
  </si>
  <si>
    <t>•  The look-up table correlates the activities without a correlation coefficient: digging and laying the foundations move together (rank correlation about 0.8) because they read the same column of the table. The tornado puts the weather first.</t>
  </si>
  <si>
    <t>Chart data</t>
  </si>
  <si>
    <t>Statistics of the last simulation behind the charts and the ranking above. Grouped: click + in the left margin to show them.</t>
  </si>
  <si>
    <t>Cumulative probability</t>
  </si>
  <si>
    <t>Exceedance</t>
  </si>
  <si>
    <t>TotalShared</t>
  </si>
  <si>
    <t>TotalOwn</t>
  </si>
  <si>
    <t>TotalBase</t>
  </si>
  <si>
    <t>line at Deadline</t>
  </si>
  <si>
    <t>Overall mean of TotalShared</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</si>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</sst>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0.0\);&quot;–&quot;_)"/>
    <numFmt numFmtId="165" formatCode="#,##0_);\(#,##0\);&quot;–&quot;_)"/>
    <numFmt numFmtId="166" formatCode="0.0%"/>
    <numFmt numFmtId="167" formatCode="\+0%;\-0%;0%"/>
    <numFmt numFmtId="168" formatCode="#,##0.0_);\(#,##0.0\);&quot;–&quot;_);&quot;–&quot;"/>
    <numFmt numFmtId="169" formatCode="#,##0.00_);\(#,##0.00\);&quot;–&quot;_);&quot;–&quot;"/>
    <numFmt numFmtId="170" formatCode="0.0%;\-0.0%;0.0%;&quot;–&quot;"/>
    <numFmt numFmtId="171" formatCode="0.00;\-0.00;0.00;&quot;–&quot;"/>
    <numFmt numFmtId="172"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2">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2" fillId="0" borderId="6" xfId="0" applyFont="1" applyBorder="1" applyAlignment="1">
      <alignment horizontal="left" vertical="center" indent="1"/>
    </xf>
    <xf numFmtId="166" fontId="1" fillId="2" borderId="7" xfId="1" applyNumberFormat="1" applyBorder="1">
      <alignment horizontal="right" vertical="center"/>
    </xf>
    <xf numFmtId="1" fontId="2" fillId="3" borderId="7" xfId="2" applyNumberFormat="1" applyBorder="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167" fontId="1" fillId="2" borderId="7" xfId="1" applyNumberFormat="1" applyBorder="1">
      <alignment horizontal="right" vertical="center"/>
    </xf>
    <xf numFmtId="0" fontId="17" fillId="7" borderId="2" xfId="0" applyFont="1" applyFill="1" applyBorder="1" applyAlignment="1">
      <alignment horizontal="right" vertical="center"/>
    </xf>
    <xf numFmtId="164" fontId="3" fillId="0" borderId="8" xfId="3" applyNumberFormat="1" applyBorder="1">
      <alignment horizontal="right" vertical="center"/>
    </xf>
    <xf numFmtId="167" fontId="3" fillId="0" borderId="8" xfId="3"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164" fontId="4" fillId="4" borderId="10" xfId="4" applyNumberFormat="1" applyBorder="1">
      <alignment horizontal="right" vertical="center"/>
    </xf>
    <xf numFmtId="1" fontId="3" fillId="0" borderId="8" xfId="3"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168" fontId="1" fillId="5" borderId="7" xfId="5" applyNumberFormat="1" applyBorder="1">
      <alignment horizontal="right" vertical="center"/>
    </xf>
    <xf numFmtId="169" fontId="1" fillId="5" borderId="7" xfId="5" applyNumberFormat="1" applyBorder="1">
      <alignment horizontal="right" vertical="center"/>
    </xf>
    <xf numFmtId="170" fontId="21" fillId="5" borderId="7" xfId="5" applyNumberFormat="1" applyFon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0" fontId="17" fillId="7" borderId="4" xfId="0" applyFont="1" applyFill="1" applyBorder="1" applyAlignment="1">
      <alignment horizontal="center" vertical="center" wrapText="1"/>
    </xf>
    <xf numFmtId="172"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Shared weather</c:v>
          </c:tx>
          <c:spPr>
            <a:ln w="25400">
              <a:solidFill>
                <a:srgbClr val="0E4F92"/>
              </a:solidFill>
              <a:prstDash val="solid"/>
            </a:ln>
          </c:spPr>
          <c:marker>
            <c:symbol val="none"/>
          </c:marker>
          <c:xVal>
            <c:numRef>
              <c:f>Results!$D$51:$D$100</c:f>
              <c:numCache>
                <c:formatCode>#,##0.00</c:formatCode>
                <c:ptCount val="50"/>
                <c:pt idx="0">
                  <c:v>44.046297462002492</c:v>
                </c:pt>
                <c:pt idx="1">
                  <c:v>44.930998459732344</c:v>
                </c:pt>
                <c:pt idx="2">
                  <c:v>45.523878321015204</c:v>
                </c:pt>
                <c:pt idx="3">
                  <c:v>45.94021893116355</c:v>
                </c:pt>
                <c:pt idx="4">
                  <c:v>46.304885085435146</c:v>
                </c:pt>
                <c:pt idx="5">
                  <c:v>46.602993625290232</c:v>
                </c:pt>
                <c:pt idx="6">
                  <c:v>46.883368856447916</c:v>
                </c:pt>
                <c:pt idx="7">
                  <c:v>47.145749894688151</c:v>
                </c:pt>
                <c:pt idx="8">
                  <c:v>47.394457698497433</c:v>
                </c:pt>
                <c:pt idx="9">
                  <c:v>47.633358907221947</c:v>
                </c:pt>
                <c:pt idx="10">
                  <c:v>47.824362785891758</c:v>
                </c:pt>
                <c:pt idx="11">
                  <c:v>48.056045792072311</c:v>
                </c:pt>
                <c:pt idx="12">
                  <c:v>48.310488771166746</c:v>
                </c:pt>
                <c:pt idx="13">
                  <c:v>48.509093690006338</c:v>
                </c:pt>
                <c:pt idx="14">
                  <c:v>48.729057795629053</c:v>
                </c:pt>
                <c:pt idx="15">
                  <c:v>48.961180290041014</c:v>
                </c:pt>
                <c:pt idx="16">
                  <c:v>49.135328754822574</c:v>
                </c:pt>
                <c:pt idx="17">
                  <c:v>49.348175552254538</c:v>
                </c:pt>
                <c:pt idx="18">
                  <c:v>49.580751775386467</c:v>
                </c:pt>
                <c:pt idx="19">
                  <c:v>49.78463847201111</c:v>
                </c:pt>
                <c:pt idx="20">
                  <c:v>50.021871085033695</c:v>
                </c:pt>
                <c:pt idx="21">
                  <c:v>50.28717528495411</c:v>
                </c:pt>
                <c:pt idx="22">
                  <c:v>50.532098789335862</c:v>
                </c:pt>
                <c:pt idx="23">
                  <c:v>50.829268809147536</c:v>
                </c:pt>
                <c:pt idx="24">
                  <c:v>51.126671556973896</c:v>
                </c:pt>
                <c:pt idx="25">
                  <c:v>51.555091783401153</c:v>
                </c:pt>
                <c:pt idx="26">
                  <c:v>52.078002262584988</c:v>
                </c:pt>
                <c:pt idx="27">
                  <c:v>52.734881490672485</c:v>
                </c:pt>
                <c:pt idx="28">
                  <c:v>53.355259089302841</c:v>
                </c:pt>
                <c:pt idx="29">
                  <c:v>53.973423522843156</c:v>
                </c:pt>
                <c:pt idx="30">
                  <c:v>54.449112647913594</c:v>
                </c:pt>
                <c:pt idx="31">
                  <c:v>54.917642588714195</c:v>
                </c:pt>
                <c:pt idx="32">
                  <c:v>55.275459429895591</c:v>
                </c:pt>
                <c:pt idx="33">
                  <c:v>55.626793106564755</c:v>
                </c:pt>
                <c:pt idx="34">
                  <c:v>55.980540979823481</c:v>
                </c:pt>
                <c:pt idx="35">
                  <c:v>56.346433341274256</c:v>
                </c:pt>
                <c:pt idx="36">
                  <c:v>56.708648189213761</c:v>
                </c:pt>
                <c:pt idx="37">
                  <c:v>57.081377500159583</c:v>
                </c:pt>
                <c:pt idx="38">
                  <c:v>57.392650067780579</c:v>
                </c:pt>
                <c:pt idx="39">
                  <c:v>57.728735283638215</c:v>
                </c:pt>
                <c:pt idx="40">
                  <c:v>58.130825959805463</c:v>
                </c:pt>
                <c:pt idx="41">
                  <c:v>58.571902000254383</c:v>
                </c:pt>
                <c:pt idx="42">
                  <c:v>59.005781396018676</c:v>
                </c:pt>
                <c:pt idx="43">
                  <c:v>59.467647969335658</c:v>
                </c:pt>
                <c:pt idx="44">
                  <c:v>60.012987019820024</c:v>
                </c:pt>
                <c:pt idx="45">
                  <c:v>60.642305807576435</c:v>
                </c:pt>
                <c:pt idx="46">
                  <c:v>61.355181602142515</c:v>
                </c:pt>
                <c:pt idx="47">
                  <c:v>62.076961795135958</c:v>
                </c:pt>
                <c:pt idx="48">
                  <c:v>63.034708102735124</c:v>
                </c:pt>
                <c:pt idx="49">
                  <c:v>64.735814357962056</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8781-428C-A378-4F4FF568B11D}"/>
            </c:ext>
          </c:extLst>
        </c:ser>
        <c:ser>
          <c:idx val="1"/>
          <c:order val="1"/>
          <c:tx>
            <c:v>Independent weather</c:v>
          </c:tx>
          <c:spPr>
            <a:ln w="25400">
              <a:solidFill>
                <a:srgbClr val="B45309"/>
              </a:solidFill>
              <a:prstDash val="dash"/>
            </a:ln>
          </c:spPr>
          <c:marker>
            <c:symbol val="none"/>
          </c:marker>
          <c:xVal>
            <c:numRef>
              <c:f>Results!$E$51:$E$100</c:f>
              <c:numCache>
                <c:formatCode>#,##0.00</c:formatCode>
                <c:ptCount val="50"/>
                <c:pt idx="0">
                  <c:v>46.034347250317154</c:v>
                </c:pt>
                <c:pt idx="1">
                  <c:v>47.121409767376328</c:v>
                </c:pt>
                <c:pt idx="2">
                  <c:v>47.736900525520269</c:v>
                </c:pt>
                <c:pt idx="3">
                  <c:v>48.207104261987325</c:v>
                </c:pt>
                <c:pt idx="4">
                  <c:v>48.63873662678786</c:v>
                </c:pt>
                <c:pt idx="5">
                  <c:v>48.965596092893222</c:v>
                </c:pt>
                <c:pt idx="6">
                  <c:v>49.231525660493588</c:v>
                </c:pt>
                <c:pt idx="7">
                  <c:v>49.511709160530117</c:v>
                </c:pt>
                <c:pt idx="8">
                  <c:v>49.736837527103631</c:v>
                </c:pt>
                <c:pt idx="9">
                  <c:v>49.945039256851679</c:v>
                </c:pt>
                <c:pt idx="10">
                  <c:v>50.145967876601219</c:v>
                </c:pt>
                <c:pt idx="11">
                  <c:v>50.373792169253491</c:v>
                </c:pt>
                <c:pt idx="12">
                  <c:v>50.567066702485434</c:v>
                </c:pt>
                <c:pt idx="13">
                  <c:v>50.771292682586193</c:v>
                </c:pt>
                <c:pt idx="14">
                  <c:v>50.941111602555722</c:v>
                </c:pt>
                <c:pt idx="15">
                  <c:v>51.085268323596459</c:v>
                </c:pt>
                <c:pt idx="16">
                  <c:v>51.267344281016243</c:v>
                </c:pt>
                <c:pt idx="17">
                  <c:v>51.438978035708431</c:v>
                </c:pt>
                <c:pt idx="18">
                  <c:v>51.593843116516375</c:v>
                </c:pt>
                <c:pt idx="19">
                  <c:v>51.748237649234611</c:v>
                </c:pt>
                <c:pt idx="20">
                  <c:v>51.908685268330764</c:v>
                </c:pt>
                <c:pt idx="21">
                  <c:v>52.065800822611884</c:v>
                </c:pt>
                <c:pt idx="22">
                  <c:v>52.22760059301509</c:v>
                </c:pt>
                <c:pt idx="23">
                  <c:v>52.384327370563319</c:v>
                </c:pt>
                <c:pt idx="24">
                  <c:v>52.552833627818494</c:v>
                </c:pt>
                <c:pt idx="25">
                  <c:v>52.692165036465965</c:v>
                </c:pt>
                <c:pt idx="26">
                  <c:v>52.835595563370845</c:v>
                </c:pt>
                <c:pt idx="27">
                  <c:v>52.996378272616973</c:v>
                </c:pt>
                <c:pt idx="28">
                  <c:v>53.153589786772685</c:v>
                </c:pt>
                <c:pt idx="29">
                  <c:v>53.308595056080875</c:v>
                </c:pt>
                <c:pt idx="30">
                  <c:v>53.457036375955326</c:v>
                </c:pt>
                <c:pt idx="31">
                  <c:v>53.651627635538155</c:v>
                </c:pt>
                <c:pt idx="32">
                  <c:v>53.826095875260066</c:v>
                </c:pt>
                <c:pt idx="33">
                  <c:v>54.00534187715698</c:v>
                </c:pt>
                <c:pt idx="34">
                  <c:v>54.214069567912752</c:v>
                </c:pt>
                <c:pt idx="35">
                  <c:v>54.381373702105449</c:v>
                </c:pt>
                <c:pt idx="36">
                  <c:v>54.573221908402147</c:v>
                </c:pt>
                <c:pt idx="37">
                  <c:v>54.774575325172997</c:v>
                </c:pt>
                <c:pt idx="38">
                  <c:v>55.005373654367951</c:v>
                </c:pt>
                <c:pt idx="39">
                  <c:v>55.205366117184859</c:v>
                </c:pt>
                <c:pt idx="40">
                  <c:v>55.435530169400025</c:v>
                </c:pt>
                <c:pt idx="41">
                  <c:v>55.691063739066848</c:v>
                </c:pt>
                <c:pt idx="42">
                  <c:v>55.979958951885322</c:v>
                </c:pt>
                <c:pt idx="43">
                  <c:v>56.270250265389691</c:v>
                </c:pt>
                <c:pt idx="44">
                  <c:v>56.602452290926692</c:v>
                </c:pt>
                <c:pt idx="45">
                  <c:v>56.995162069175166</c:v>
                </c:pt>
                <c:pt idx="46">
                  <c:v>57.462661897707619</c:v>
                </c:pt>
                <c:pt idx="47">
                  <c:v>58.021067133628776</c:v>
                </c:pt>
                <c:pt idx="48">
                  <c:v>58.822959445157785</c:v>
                </c:pt>
                <c:pt idx="49">
                  <c:v>60.279045333988698</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8781-428C-A378-4F4FF568B11D}"/>
            </c:ext>
          </c:extLst>
        </c:ser>
        <c:ser>
          <c:idx val="2"/>
          <c:order val="2"/>
          <c:tx>
            <c:v>No weather effect</c:v>
          </c:tx>
          <c:spPr>
            <a:ln w="25400">
              <a:solidFill>
                <a:srgbClr val="15803D"/>
              </a:solidFill>
              <a:prstDash val="solid"/>
            </a:ln>
          </c:spPr>
          <c:marker>
            <c:symbol val="none"/>
          </c:marker>
          <c:xVal>
            <c:numRef>
              <c:f>Results!$F$51:$F$100</c:f>
              <c:numCache>
                <c:formatCode>#,##0.00</c:formatCode>
                <c:ptCount val="50"/>
                <c:pt idx="0">
                  <c:v>45.976042175820801</c:v>
                </c:pt>
                <c:pt idx="1">
                  <c:v>46.649377611632659</c:v>
                </c:pt>
                <c:pt idx="2">
                  <c:v>47.012291898408392</c:v>
                </c:pt>
                <c:pt idx="3">
                  <c:v>47.299655743661077</c:v>
                </c:pt>
                <c:pt idx="4">
                  <c:v>47.508143869263698</c:v>
                </c:pt>
                <c:pt idx="5">
                  <c:v>47.691489035498243</c:v>
                </c:pt>
                <c:pt idx="6">
                  <c:v>47.851388855017156</c:v>
                </c:pt>
                <c:pt idx="7">
                  <c:v>48.00957482405348</c:v>
                </c:pt>
                <c:pt idx="8">
                  <c:v>48.168373799795205</c:v>
                </c:pt>
                <c:pt idx="9">
                  <c:v>48.310488771166746</c:v>
                </c:pt>
                <c:pt idx="10">
                  <c:v>48.435359788553747</c:v>
                </c:pt>
                <c:pt idx="11">
                  <c:v>48.555611132840987</c:v>
                </c:pt>
                <c:pt idx="12">
                  <c:v>48.676236724088355</c:v>
                </c:pt>
                <c:pt idx="13">
                  <c:v>48.79328529217895</c:v>
                </c:pt>
                <c:pt idx="14">
                  <c:v>48.911000845650165</c:v>
                </c:pt>
                <c:pt idx="15">
                  <c:v>49.007543405759449</c:v>
                </c:pt>
                <c:pt idx="16">
                  <c:v>49.102818318794689</c:v>
                </c:pt>
                <c:pt idx="17">
                  <c:v>49.208428254386483</c:v>
                </c:pt>
                <c:pt idx="18">
                  <c:v>49.313078569296849</c:v>
                </c:pt>
                <c:pt idx="19">
                  <c:v>49.417198254269323</c:v>
                </c:pt>
                <c:pt idx="20">
                  <c:v>49.521848636830427</c:v>
                </c:pt>
                <c:pt idx="21">
                  <c:v>49.625696814210272</c:v>
                </c:pt>
                <c:pt idx="22">
                  <c:v>49.717332369990785</c:v>
                </c:pt>
                <c:pt idx="23">
                  <c:v>49.815125460493661</c:v>
                </c:pt>
                <c:pt idx="24">
                  <c:v>49.912632607727915</c:v>
                </c:pt>
                <c:pt idx="25">
                  <c:v>50.00754693960311</c:v>
                </c:pt>
                <c:pt idx="26">
                  <c:v>50.112036329238904</c:v>
                </c:pt>
                <c:pt idx="27">
                  <c:v>50.216588687545617</c:v>
                </c:pt>
                <c:pt idx="28">
                  <c:v>50.3163438045992</c:v>
                </c:pt>
                <c:pt idx="29">
                  <c:v>50.40607018505996</c:v>
                </c:pt>
                <c:pt idx="30">
                  <c:v>50.498621037328007</c:v>
                </c:pt>
                <c:pt idx="31">
                  <c:v>50.586968221042255</c:v>
                </c:pt>
                <c:pt idx="32">
                  <c:v>50.69371350933406</c:v>
                </c:pt>
                <c:pt idx="33">
                  <c:v>50.798006111863842</c:v>
                </c:pt>
                <c:pt idx="34">
                  <c:v>50.908536842910991</c:v>
                </c:pt>
                <c:pt idx="35">
                  <c:v>51.028124090240993</c:v>
                </c:pt>
                <c:pt idx="36">
                  <c:v>51.133951340274905</c:v>
                </c:pt>
                <c:pt idx="37">
                  <c:v>51.261331864036045</c:v>
                </c:pt>
                <c:pt idx="38">
                  <c:v>51.390585867851414</c:v>
                </c:pt>
                <c:pt idx="39">
                  <c:v>51.52399760902825</c:v>
                </c:pt>
                <c:pt idx="40">
                  <c:v>51.667990076958716</c:v>
                </c:pt>
                <c:pt idx="41">
                  <c:v>51.827569340484018</c:v>
                </c:pt>
                <c:pt idx="42">
                  <c:v>52.006407568509999</c:v>
                </c:pt>
                <c:pt idx="43">
                  <c:v>52.176671263824574</c:v>
                </c:pt>
                <c:pt idx="44">
                  <c:v>52.383211888095907</c:v>
                </c:pt>
                <c:pt idx="45">
                  <c:v>52.623011978700909</c:v>
                </c:pt>
                <c:pt idx="46">
                  <c:v>52.890010996570822</c:v>
                </c:pt>
                <c:pt idx="47">
                  <c:v>53.191023627229519</c:v>
                </c:pt>
                <c:pt idx="48">
                  <c:v>53.648320469236751</c:v>
                </c:pt>
                <c:pt idx="49">
                  <c:v>54.519404930669374</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8781-428C-A378-4F4FF568B11D}"/>
            </c:ext>
          </c:extLst>
        </c:ser>
        <c:ser>
          <c:idx val="3"/>
          <c:order val="3"/>
          <c:tx>
            <c:v>Deadline</c:v>
          </c:tx>
          <c:spPr>
            <a:ln w="19050">
              <a:solidFill>
                <a:srgbClr val="B91C1C"/>
              </a:solidFill>
              <a:prstDash val="sysDash"/>
            </a:ln>
          </c:spPr>
          <c:marker>
            <c:symbol val="none"/>
          </c:marker>
          <c:xVal>
            <c:numRef>
              <c:f>Results!$G$51:$G$100</c:f>
              <c:numCache>
                <c:formatCode>#,##0.00</c:formatCode>
                <c:ptCount val="5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8781-428C-A378-4F4FF568B11D}"/>
            </c:ext>
          </c:extLst>
        </c:ser>
        <c:dLbls>
          <c:showLegendKey val="0"/>
          <c:showVal val="0"/>
          <c:showCatName val="0"/>
          <c:showSerName val="0"/>
          <c:showPercent val="0"/>
          <c:showBubbleSize val="0"/>
        </c:dLbls>
        <c:axId val="10"/>
        <c:axId val="20"/>
      </c:scatterChart>
      <c:valAx>
        <c:axId val="10"/>
        <c:scaling>
          <c:orientation val="minMax"/>
          <c:min val="40"/>
        </c:scaling>
        <c:delete val="0"/>
        <c:axPos val="b"/>
        <c:title>
          <c:tx>
            <c:rich>
              <a:bodyPr/>
              <a:lstStyle/>
              <a:p>
                <a:pPr>
                  <a:defRPr/>
                </a:pPr>
                <a:r>
                  <a:rPr lang="en-US"/>
                  <a:t>Total time (weeks)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Results!$B$104:$B$110</c:f>
              <c:strCache>
                <c:ptCount val="7"/>
                <c:pt idx="0">
                  <c:v>Weather index this season</c:v>
                </c:pt>
                <c:pt idx="1">
                  <c:v>Walls and floors</c:v>
                </c:pt>
                <c:pt idx="2">
                  <c:v>Dig foundations</c:v>
                </c:pt>
                <c:pt idx="3">
                  <c:v>Archaeology</c:v>
                </c:pt>
                <c:pt idx="4">
                  <c:v>Lay foundations</c:v>
                </c:pt>
                <c:pt idx="5">
                  <c:v>Lay roofing</c:v>
                </c:pt>
                <c:pt idx="6">
                  <c:v>Formwork</c:v>
                </c:pt>
              </c:strCache>
            </c:strRef>
          </c:cat>
          <c:val>
            <c:numRef>
              <c:f>Results!$F$104:$F$110</c:f>
              <c:numCache>
                <c:formatCode>#,##0.0_);\(#,##0.0\);"–"_)</c:formatCode>
                <c:ptCount val="7"/>
                <c:pt idx="0">
                  <c:v>8.7458357215479481</c:v>
                </c:pt>
                <c:pt idx="1">
                  <c:v>2.326005214214824</c:v>
                </c:pt>
                <c:pt idx="2">
                  <c:v>1.632459028444984</c:v>
                </c:pt>
                <c:pt idx="3">
                  <c:v>1.7641868554984583</c:v>
                </c:pt>
                <c:pt idx="4">
                  <c:v>1.338616863032783</c:v>
                </c:pt>
                <c:pt idx="5">
                  <c:v>1.3800120182946998</c:v>
                </c:pt>
                <c:pt idx="6">
                  <c:v>0.64356026866557414</c:v>
                </c:pt>
              </c:numCache>
            </c:numRef>
          </c:val>
          <c:extLst>
            <c:ext xmlns:c16="http://schemas.microsoft.com/office/drawing/2014/chart" uri="{C3380CC4-5D6E-409C-BE32-E72D297353CC}">
              <c16:uniqueId val="{00000000-804E-45A2-BEB2-F68B96FD1914}"/>
            </c:ext>
          </c:extLst>
        </c:ser>
        <c:ser>
          <c:idx val="1"/>
          <c:order val="1"/>
          <c:tx>
            <c:v>Lowest group mean</c:v>
          </c:tx>
          <c:spPr>
            <a:solidFill>
              <a:srgbClr val="B91C1C"/>
            </a:solidFill>
            <a:ln>
              <a:noFill/>
              <a:prstDash val="solid"/>
            </a:ln>
          </c:spPr>
          <c:invertIfNegative val="0"/>
          <c:cat>
            <c:strRef>
              <c:f>Results!$B$104:$B$110</c:f>
              <c:strCache>
                <c:ptCount val="7"/>
                <c:pt idx="0">
                  <c:v>Weather index this season</c:v>
                </c:pt>
                <c:pt idx="1">
                  <c:v>Walls and floors</c:v>
                </c:pt>
                <c:pt idx="2">
                  <c:v>Dig foundations</c:v>
                </c:pt>
                <c:pt idx="3">
                  <c:v>Archaeology</c:v>
                </c:pt>
                <c:pt idx="4">
                  <c:v>Lay foundations</c:v>
                </c:pt>
                <c:pt idx="5">
                  <c:v>Lay roofing</c:v>
                </c:pt>
                <c:pt idx="6">
                  <c:v>Formwork</c:v>
                </c:pt>
              </c:strCache>
            </c:strRef>
          </c:cat>
          <c:val>
            <c:numRef>
              <c:f>Results!$G$104:$G$110</c:f>
              <c:numCache>
                <c:formatCode>#,##0.0_);\(#,##0.0\);"–"_)</c:formatCode>
                <c:ptCount val="7"/>
                <c:pt idx="0">
                  <c:v>-6.0781168035451927</c:v>
                </c:pt>
                <c:pt idx="1">
                  <c:v>-2.1012261561248735</c:v>
                </c:pt>
                <c:pt idx="2">
                  <c:v>-1.484075015770344</c:v>
                </c:pt>
                <c:pt idx="3">
                  <c:v>-1.0491475091681437</c:v>
                </c:pt>
                <c:pt idx="4">
                  <c:v>-1.0256189713086314</c:v>
                </c:pt>
                <c:pt idx="5">
                  <c:v>-0.84774298339710441</c:v>
                </c:pt>
                <c:pt idx="6">
                  <c:v>-0.3953436290207577</c:v>
                </c:pt>
              </c:numCache>
            </c:numRef>
          </c:val>
          <c:extLst>
            <c:ext xmlns:c16="http://schemas.microsoft.com/office/drawing/2014/chart" uri="{C3380CC4-5D6E-409C-BE32-E72D297353CC}">
              <c16:uniqueId val="{00000001-804E-45A2-BEB2-F68B96FD1914}"/>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5"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9" t="s">
        <v>20</v>
      </c>
      <c r="C16" s="68"/>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68</v>
      </c>
      <c r="C58" s="10" t="s">
        <v>69</v>
      </c>
    </row>
    <row r="59" spans="2:3" ht="12" customHeight="1" x14ac:dyDescent="0.45"/>
    <row r="60" spans="2:3" ht="22.05" customHeight="1" x14ac:dyDescent="0.5">
      <c r="B60" s="7" t="s">
        <v>70</v>
      </c>
      <c r="C60" s="8"/>
    </row>
    <row r="61" spans="2:3" x14ac:dyDescent="0.45">
      <c r="B61" s="20" t="s">
        <v>71</v>
      </c>
      <c r="C61" s="10" t="s">
        <v>72</v>
      </c>
    </row>
    <row r="62" spans="2:3" x14ac:dyDescent="0.45">
      <c r="B62" s="20" t="s">
        <v>73</v>
      </c>
      <c r="C62" s="10" t="s">
        <v>74</v>
      </c>
    </row>
    <row r="63" spans="2:3" x14ac:dyDescent="0.45">
      <c r="B63" s="20" t="s">
        <v>75</v>
      </c>
      <c r="C63" s="10" t="s">
        <v>76</v>
      </c>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ht="16.05" customHeight="1" x14ac:dyDescent="0.45"/>
    <row r="72" spans="2:3" x14ac:dyDescent="0.45">
      <c r="B72" s="67" t="s">
        <v>88</v>
      </c>
      <c r="C72" s="68"/>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Activities'!A1" display="Activiti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0A800"/>
    <pageSetUpPr fitToPage="1"/>
  </sheetPr>
  <dimension ref="A1:J2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20" customHeight="1" x14ac:dyDescent="0.45">
      <c r="B6" s="70" t="s">
        <v>92</v>
      </c>
      <c r="C6" s="68"/>
      <c r="D6" s="68"/>
      <c r="E6" s="68"/>
      <c r="F6" s="68"/>
      <c r="G6" s="68"/>
      <c r="H6" s="68"/>
      <c r="I6" s="68"/>
      <c r="J6" s="68"/>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24" t="s">
        <v>99</v>
      </c>
      <c r="G10" s="24" t="s">
        <v>100</v>
      </c>
      <c r="H10" s="24" t="s">
        <v>101</v>
      </c>
      <c r="I10" s="24" t="s">
        <v>102</v>
      </c>
      <c r="J10" s="23" t="s">
        <v>103</v>
      </c>
    </row>
    <row r="11" spans="1:10" x14ac:dyDescent="0.45">
      <c r="B11" s="25" t="s">
        <v>104</v>
      </c>
      <c r="C11" s="26" t="s">
        <v>105</v>
      </c>
      <c r="D11" s="27" cm="1">
        <f t="array" aca="1" ref="D11" ca="1">_xll.VoseInput("Archaeology","weeks")+_xll.VoseTriangle(F11,G11,H11)</f>
        <v>4.5131169980028893</v>
      </c>
      <c r="E11" s="26" t="s">
        <v>106</v>
      </c>
      <c r="F11" s="28">
        <v>3</v>
      </c>
      <c r="G11" s="28">
        <v>4</v>
      </c>
      <c r="H11" s="28">
        <v>6</v>
      </c>
      <c r="I11" s="29"/>
      <c r="J11" s="30" t="s">
        <v>107</v>
      </c>
    </row>
    <row r="12" spans="1:10" x14ac:dyDescent="0.45">
      <c r="B12" s="25" t="s">
        <v>108</v>
      </c>
      <c r="C12" s="26" t="s">
        <v>105</v>
      </c>
      <c r="D12" s="27" cm="1">
        <f t="array" aca="1" ref="D12" ca="1">_xll.VoseInput("Dig foundations","weeks")+_xll.VoseTriangle(F12,G12,H12)</f>
        <v>9.436914108073438</v>
      </c>
      <c r="E12" s="26" t="s">
        <v>106</v>
      </c>
      <c r="F12" s="28">
        <v>9</v>
      </c>
      <c r="G12" s="28">
        <v>11</v>
      </c>
      <c r="H12" s="28">
        <v>13</v>
      </c>
      <c r="I12" s="29"/>
      <c r="J12" s="30"/>
    </row>
    <row r="13" spans="1:10" x14ac:dyDescent="0.45">
      <c r="B13" s="25" t="s">
        <v>109</v>
      </c>
      <c r="C13" s="26" t="s">
        <v>105</v>
      </c>
      <c r="D13" s="27" cm="1">
        <f t="array" aca="1" ref="D13" ca="1">_xll.VoseInput("Formwork","weeks")+_xll.VoseTriangle(F13,G13,H13)</f>
        <v>2.344877129494471</v>
      </c>
      <c r="E13" s="26" t="s">
        <v>106</v>
      </c>
      <c r="F13" s="28">
        <v>2</v>
      </c>
      <c r="G13" s="28">
        <v>2</v>
      </c>
      <c r="H13" s="28">
        <v>3</v>
      </c>
      <c r="I13" s="29"/>
      <c r="J13" s="30"/>
    </row>
    <row r="14" spans="1:10" x14ac:dyDescent="0.45">
      <c r="B14" s="25" t="s">
        <v>110</v>
      </c>
      <c r="C14" s="26" t="s">
        <v>105</v>
      </c>
      <c r="D14" s="27" cm="1">
        <f t="array" aca="1" ref="D14" ca="1">_xll.VoseInput("Lay foundations","weeks")+_xll.VoseTriangle(F14,G14,H14)</f>
        <v>7.1932382615837245</v>
      </c>
      <c r="E14" s="26" t="s">
        <v>106</v>
      </c>
      <c r="F14" s="28">
        <v>6</v>
      </c>
      <c r="G14" s="28">
        <v>7</v>
      </c>
      <c r="H14" s="28">
        <v>9</v>
      </c>
      <c r="I14" s="29"/>
      <c r="J14" s="30"/>
    </row>
    <row r="15" spans="1:10" x14ac:dyDescent="0.45">
      <c r="B15" s="25" t="s">
        <v>111</v>
      </c>
      <c r="C15" s="26" t="s">
        <v>105</v>
      </c>
      <c r="D15" s="27" cm="1">
        <f t="array" aca="1" ref="D15" ca="1">_xll.VoseInput("Walls and floors","weeks")+_xll.VoseTriangle(F15,G15,H15)</f>
        <v>17.81076249984644</v>
      </c>
      <c r="E15" s="26" t="s">
        <v>106</v>
      </c>
      <c r="F15" s="28">
        <v>15</v>
      </c>
      <c r="G15" s="28">
        <v>17</v>
      </c>
      <c r="H15" s="28">
        <v>21</v>
      </c>
      <c r="I15" s="29"/>
      <c r="J15" s="30"/>
    </row>
    <row r="16" spans="1:10" x14ac:dyDescent="0.45">
      <c r="B16" s="25" t="s">
        <v>112</v>
      </c>
      <c r="C16" s="26" t="s">
        <v>105</v>
      </c>
      <c r="D16" s="27" cm="1">
        <f t="array" aca="1" ref="D16" ca="1">_xll.VoseInput("Lay roofing","weeks")+_xll.VoseTriangle(F16,G16,H16)</f>
        <v>6.7278884751893946</v>
      </c>
      <c r="E16" s="26" t="s">
        <v>106</v>
      </c>
      <c r="F16" s="28">
        <v>6</v>
      </c>
      <c r="G16" s="28">
        <v>7</v>
      </c>
      <c r="H16" s="28">
        <v>9</v>
      </c>
      <c r="I16" s="29"/>
      <c r="J16" s="30"/>
    </row>
    <row r="17" spans="2:10" ht="8" customHeight="1" x14ac:dyDescent="0.45"/>
    <row r="18" spans="2:10" ht="22.05" customHeight="1" x14ac:dyDescent="0.5">
      <c r="B18" s="7" t="s">
        <v>113</v>
      </c>
      <c r="C18" s="8"/>
      <c r="D18" s="8"/>
      <c r="E18" s="8"/>
      <c r="F18" s="8"/>
      <c r="G18" s="8"/>
      <c r="H18" s="8"/>
      <c r="I18" s="8"/>
      <c r="J18" s="8"/>
    </row>
    <row r="19" spans="2:10" ht="18" customHeight="1" x14ac:dyDescent="0.45">
      <c r="B19" s="23" t="s">
        <v>95</v>
      </c>
      <c r="C19" s="23" t="s">
        <v>96</v>
      </c>
      <c r="D19" s="24" t="s">
        <v>97</v>
      </c>
      <c r="E19" s="23" t="s">
        <v>98</v>
      </c>
      <c r="F19" s="5"/>
      <c r="G19" s="5"/>
      <c r="H19" s="5"/>
      <c r="I19" s="5"/>
      <c r="J19" s="23" t="s">
        <v>103</v>
      </c>
    </row>
    <row r="20" spans="2:10" x14ac:dyDescent="0.45">
      <c r="B20" s="25" t="s">
        <v>114</v>
      </c>
      <c r="C20" s="26" t="s">
        <v>105</v>
      </c>
      <c r="D20" s="31">
        <v>55</v>
      </c>
      <c r="E20" s="26" t="s">
        <v>115</v>
      </c>
      <c r="F20" s="29"/>
      <c r="G20" s="29"/>
      <c r="H20" s="29"/>
      <c r="I20" s="29"/>
      <c r="J20" s="30" t="s">
        <v>116</v>
      </c>
    </row>
    <row r="21" spans="2:10" ht="8" customHeight="1" x14ac:dyDescent="0.45"/>
  </sheetData>
  <mergeCells count="1">
    <mergeCell ref="B6:J6"/>
  </mergeCells>
  <dataValidations count="1">
    <dataValidation type="decimal" operator="greaterThan" showErrorMessage="1" errorTitle="Positive value" error="Enter a value greater than zero." sqref="D20" xr:uid="{00000000-0002-0000-0100-000000000000}">
      <formula1>0</formula1>
    </dataValidation>
  </dataValidations>
  <hyperlinks>
    <hyperlink ref="B4" location="'About'!A1" display="◂  About" xr:uid="{00000000-0004-0000-0100-000000000000}"/>
    <hyperlink ref="J4" location="'Activities'!A1" display="Next:  Activiti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AA0BA"/>
    <pageSetUpPr fitToPage="1"/>
  </sheetPr>
  <dimension ref="A1:L52"/>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7" customWidth="1"/>
    <col min="3" max="3" width="30" customWidth="1"/>
    <col min="4" max="10" width="11" customWidth="1"/>
    <col min="11" max="11" width="2" customWidth="1"/>
    <col min="12" max="12" width="56" customWidth="1"/>
  </cols>
  <sheetData>
    <row r="1" spans="1:12" ht="6" customHeight="1" x14ac:dyDescent="0.45"/>
    <row r="2" spans="1:12" ht="30" customHeight="1" x14ac:dyDescent="0.45">
      <c r="A2" s="1"/>
      <c r="B2" s="21" t="s">
        <v>0</v>
      </c>
      <c r="C2" s="1"/>
      <c r="D2" s="1"/>
      <c r="E2" s="1"/>
      <c r="F2" s="1"/>
      <c r="G2" s="1"/>
      <c r="H2" s="1"/>
      <c r="I2" s="1"/>
      <c r="J2" s="1"/>
      <c r="K2" s="1"/>
      <c r="L2" s="3" t="s">
        <v>1</v>
      </c>
    </row>
    <row r="3" spans="1:12" ht="20" customHeight="1" x14ac:dyDescent="0.45">
      <c r="A3" s="1"/>
      <c r="B3" s="4" t="s">
        <v>117</v>
      </c>
      <c r="C3" s="1"/>
      <c r="D3" s="1"/>
      <c r="E3" s="1"/>
      <c r="F3" s="1"/>
      <c r="G3" s="1"/>
      <c r="H3" s="1"/>
      <c r="I3" s="1"/>
      <c r="J3" s="1"/>
      <c r="K3" s="1"/>
      <c r="L3" s="1"/>
    </row>
    <row r="4" spans="1:12" ht="20" customHeight="1" x14ac:dyDescent="0.45">
      <c r="A4" s="5"/>
      <c r="B4" s="22" t="s">
        <v>118</v>
      </c>
      <c r="C4" s="5"/>
      <c r="D4" s="5"/>
      <c r="E4" s="5"/>
      <c r="F4" s="5"/>
      <c r="G4" s="5"/>
      <c r="H4" s="5"/>
      <c r="I4" s="5"/>
      <c r="J4" s="5"/>
      <c r="K4" s="5"/>
      <c r="L4" s="6" t="s">
        <v>119</v>
      </c>
    </row>
    <row r="5" spans="1:12" ht="8" customHeight="1" x14ac:dyDescent="0.45"/>
    <row r="6" spans="1:12" ht="22.05" customHeight="1" x14ac:dyDescent="0.5">
      <c r="B6" s="7" t="s">
        <v>120</v>
      </c>
      <c r="C6" s="8"/>
      <c r="D6" s="8"/>
      <c r="E6" s="8"/>
      <c r="F6" s="8"/>
      <c r="G6" s="8"/>
      <c r="H6" s="8"/>
      <c r="I6" s="8"/>
      <c r="J6" s="8"/>
      <c r="K6" s="8"/>
      <c r="L6" s="8"/>
    </row>
    <row r="7" spans="1:12" ht="18" customHeight="1" x14ac:dyDescent="0.45">
      <c r="B7" s="13" t="s">
        <v>121</v>
      </c>
    </row>
    <row r="8" spans="1:12" ht="18" customHeight="1" x14ac:dyDescent="0.45">
      <c r="B8" s="32" t="s">
        <v>122</v>
      </c>
      <c r="C8" s="32" t="s">
        <v>123</v>
      </c>
      <c r="D8" s="33" t="s">
        <v>124</v>
      </c>
      <c r="E8" s="5"/>
      <c r="F8" s="5"/>
      <c r="G8" s="5"/>
      <c r="H8" s="5"/>
      <c r="I8" s="5"/>
      <c r="J8" s="5"/>
      <c r="K8" s="5"/>
      <c r="L8" s="5"/>
    </row>
    <row r="9" spans="1:12" x14ac:dyDescent="0.45">
      <c r="B9" s="34">
        <v>1</v>
      </c>
      <c r="C9" s="25" t="s">
        <v>125</v>
      </c>
      <c r="D9" s="35">
        <v>0.125</v>
      </c>
      <c r="E9" s="29"/>
      <c r="F9" s="29"/>
      <c r="G9" s="29"/>
      <c r="H9" s="29"/>
      <c r="I9" s="29"/>
      <c r="J9" s="29"/>
      <c r="K9" s="29"/>
      <c r="L9" s="29"/>
    </row>
    <row r="10" spans="1:12" x14ac:dyDescent="0.45">
      <c r="B10" s="34">
        <v>2</v>
      </c>
      <c r="C10" s="25" t="s">
        <v>126</v>
      </c>
      <c r="D10" s="35">
        <v>0.3125</v>
      </c>
      <c r="E10" s="29"/>
      <c r="F10" s="29"/>
      <c r="G10" s="29"/>
      <c r="H10" s="29"/>
      <c r="I10" s="29"/>
      <c r="J10" s="29"/>
      <c r="K10" s="29"/>
      <c r="L10" s="29"/>
    </row>
    <row r="11" spans="1:12" x14ac:dyDescent="0.45">
      <c r="B11" s="34">
        <v>3</v>
      </c>
      <c r="C11" s="25" t="s">
        <v>127</v>
      </c>
      <c r="D11" s="35">
        <v>0.25</v>
      </c>
      <c r="E11" s="29"/>
      <c r="F11" s="29"/>
      <c r="G11" s="29"/>
      <c r="H11" s="29"/>
      <c r="I11" s="29"/>
      <c r="J11" s="29"/>
      <c r="K11" s="29"/>
      <c r="L11" s="29"/>
    </row>
    <row r="12" spans="1:12" x14ac:dyDescent="0.45">
      <c r="B12" s="34">
        <v>4</v>
      </c>
      <c r="C12" s="25" t="s">
        <v>128</v>
      </c>
      <c r="D12" s="35">
        <v>0.1875</v>
      </c>
      <c r="E12" s="29"/>
      <c r="F12" s="29"/>
      <c r="G12" s="29"/>
      <c r="H12" s="29"/>
      <c r="I12" s="29"/>
      <c r="J12" s="29"/>
      <c r="K12" s="29"/>
      <c r="L12" s="29"/>
    </row>
    <row r="13" spans="1:12" x14ac:dyDescent="0.45">
      <c r="B13" s="34">
        <v>5</v>
      </c>
      <c r="C13" s="25" t="s">
        <v>129</v>
      </c>
      <c r="D13" s="35">
        <v>0.125</v>
      </c>
      <c r="E13" s="29"/>
      <c r="F13" s="29"/>
      <c r="G13" s="29"/>
      <c r="H13" s="29"/>
      <c r="I13" s="29"/>
      <c r="J13" s="29"/>
      <c r="K13" s="29"/>
      <c r="L13" s="29"/>
    </row>
    <row r="14" spans="1:12" x14ac:dyDescent="0.45">
      <c r="B14" s="29"/>
      <c r="C14" s="34" t="s">
        <v>130</v>
      </c>
      <c r="D14" s="36" cm="1">
        <f t="array" aca="1" ref="D14" ca="1">_xll.VoseInput("Weather index this season","grade")+_xll.VoseDiscrete(WeatherVals,WeatherProbs)</f>
        <v>5</v>
      </c>
      <c r="E14" s="29"/>
      <c r="F14" s="29"/>
      <c r="G14" s="29"/>
      <c r="H14" s="29"/>
      <c r="I14" s="29"/>
      <c r="J14" s="29"/>
      <c r="K14" s="29"/>
      <c r="L14" s="26" t="s">
        <v>131</v>
      </c>
    </row>
    <row r="15" spans="1:12" ht="8" customHeight="1" x14ac:dyDescent="0.45"/>
    <row r="16" spans="1:12" ht="22.05" customHeight="1" x14ac:dyDescent="0.5">
      <c r="B16" s="7" t="s">
        <v>132</v>
      </c>
      <c r="C16" s="8"/>
      <c r="D16" s="8"/>
      <c r="E16" s="8"/>
      <c r="F16" s="8"/>
      <c r="G16" s="8"/>
      <c r="H16" s="8"/>
      <c r="I16" s="8"/>
      <c r="J16" s="8"/>
      <c r="K16" s="8"/>
      <c r="L16" s="8"/>
    </row>
    <row r="17" spans="2:12" ht="18" customHeight="1" x14ac:dyDescent="0.45">
      <c r="B17" s="13" t="s">
        <v>133</v>
      </c>
    </row>
    <row r="18" spans="2:12" ht="18" customHeight="1" x14ac:dyDescent="0.45">
      <c r="B18" s="37" t="s">
        <v>134</v>
      </c>
      <c r="C18" s="37" t="s">
        <v>135</v>
      </c>
      <c r="D18" s="37" t="s">
        <v>136</v>
      </c>
      <c r="E18" s="38"/>
      <c r="F18" s="38"/>
      <c r="G18" s="38"/>
      <c r="H18" s="38"/>
      <c r="I18" s="38"/>
      <c r="J18" s="38"/>
      <c r="K18" s="38"/>
      <c r="L18" s="38"/>
    </row>
    <row r="19" spans="2:12" x14ac:dyDescent="0.45">
      <c r="B19" s="39"/>
      <c r="C19" s="39"/>
      <c r="D19" s="39" t="s">
        <v>137</v>
      </c>
      <c r="E19" s="39" t="s">
        <v>138</v>
      </c>
      <c r="F19" s="39" t="s">
        <v>139</v>
      </c>
      <c r="G19" s="39" t="s">
        <v>140</v>
      </c>
      <c r="H19" s="39" t="s">
        <v>141</v>
      </c>
      <c r="I19" s="39"/>
      <c r="J19" s="39"/>
      <c r="K19" s="39"/>
      <c r="L19" s="39"/>
    </row>
    <row r="20" spans="2:12" x14ac:dyDescent="0.45">
      <c r="B20" s="34">
        <v>1</v>
      </c>
      <c r="C20" s="25" t="s">
        <v>104</v>
      </c>
      <c r="D20" s="40">
        <v>0.4</v>
      </c>
      <c r="E20" s="40">
        <v>0.28000000000000003</v>
      </c>
      <c r="F20" s="40">
        <v>0</v>
      </c>
      <c r="G20" s="40">
        <v>0</v>
      </c>
      <c r="H20" s="40">
        <v>-0.02</v>
      </c>
      <c r="I20" s="29"/>
      <c r="J20" s="29"/>
      <c r="K20" s="29"/>
      <c r="L20" s="26" t="s">
        <v>142</v>
      </c>
    </row>
    <row r="21" spans="2:12" x14ac:dyDescent="0.45">
      <c r="B21" s="34">
        <v>2</v>
      </c>
      <c r="C21" s="25" t="s">
        <v>108</v>
      </c>
      <c r="D21" s="40">
        <v>0.3</v>
      </c>
      <c r="E21" s="40">
        <v>0.2</v>
      </c>
      <c r="F21" s="40">
        <v>0</v>
      </c>
      <c r="G21" s="40">
        <v>-0.06</v>
      </c>
      <c r="H21" s="40">
        <v>-0.1</v>
      </c>
      <c r="I21" s="29"/>
      <c r="J21" s="29"/>
      <c r="K21" s="29"/>
      <c r="L21" s="29"/>
    </row>
    <row r="22" spans="2:12" x14ac:dyDescent="0.45">
      <c r="B22" s="34">
        <v>3</v>
      </c>
      <c r="C22" s="25" t="s">
        <v>109</v>
      </c>
      <c r="D22" s="40">
        <v>0.1</v>
      </c>
      <c r="E22" s="40">
        <v>0.04</v>
      </c>
      <c r="F22" s="40">
        <v>0</v>
      </c>
      <c r="G22" s="40">
        <v>0</v>
      </c>
      <c r="H22" s="40">
        <v>-0.03</v>
      </c>
      <c r="I22" s="29"/>
      <c r="J22" s="29"/>
      <c r="K22" s="29"/>
      <c r="L22" s="29"/>
    </row>
    <row r="23" spans="2:12" x14ac:dyDescent="0.45">
      <c r="B23" s="34">
        <v>4</v>
      </c>
      <c r="C23" s="25" t="s">
        <v>110</v>
      </c>
      <c r="D23" s="40">
        <v>0.4</v>
      </c>
      <c r="E23" s="40">
        <v>0.25</v>
      </c>
      <c r="F23" s="40">
        <v>0</v>
      </c>
      <c r="G23" s="40">
        <v>-0.12</v>
      </c>
      <c r="H23" s="40">
        <v>-0.18</v>
      </c>
      <c r="I23" s="29"/>
      <c r="J23" s="29"/>
      <c r="K23" s="29"/>
      <c r="L23" s="29"/>
    </row>
    <row r="24" spans="2:12" x14ac:dyDescent="0.45">
      <c r="B24" s="34">
        <v>5</v>
      </c>
      <c r="C24" s="25" t="s">
        <v>111</v>
      </c>
      <c r="D24" s="40">
        <v>0.1</v>
      </c>
      <c r="E24" s="40">
        <v>0.04</v>
      </c>
      <c r="F24" s="40">
        <v>0</v>
      </c>
      <c r="G24" s="40">
        <v>0</v>
      </c>
      <c r="H24" s="40">
        <v>-0.02</v>
      </c>
      <c r="I24" s="29"/>
      <c r="J24" s="29"/>
      <c r="K24" s="29"/>
      <c r="L24" s="29"/>
    </row>
    <row r="25" spans="2:12" x14ac:dyDescent="0.45">
      <c r="B25" s="34">
        <v>6</v>
      </c>
      <c r="C25" s="25" t="s">
        <v>112</v>
      </c>
      <c r="D25" s="40">
        <v>0.2</v>
      </c>
      <c r="E25" s="40">
        <v>0.08</v>
      </c>
      <c r="F25" s="40">
        <v>0</v>
      </c>
      <c r="G25" s="40">
        <v>-0.04</v>
      </c>
      <c r="H25" s="40">
        <v>-0.06</v>
      </c>
      <c r="I25" s="29"/>
      <c r="J25" s="29"/>
      <c r="K25" s="29"/>
      <c r="L25" s="29"/>
    </row>
    <row r="26" spans="2:12" ht="8" customHeight="1" x14ac:dyDescent="0.45"/>
    <row r="27" spans="2:12" ht="22.05" customHeight="1" x14ac:dyDescent="0.5">
      <c r="B27" s="7" t="s">
        <v>143</v>
      </c>
      <c r="C27" s="8"/>
      <c r="D27" s="8"/>
      <c r="E27" s="8"/>
      <c r="F27" s="8"/>
      <c r="G27" s="8"/>
      <c r="H27" s="8"/>
      <c r="I27" s="8"/>
      <c r="J27" s="8"/>
      <c r="K27" s="8"/>
      <c r="L27" s="8"/>
    </row>
    <row r="28" spans="2:12" ht="18" customHeight="1" x14ac:dyDescent="0.45">
      <c r="B28" s="13" t="s">
        <v>144</v>
      </c>
    </row>
    <row r="29" spans="2:12" ht="18" customHeight="1" x14ac:dyDescent="0.45">
      <c r="B29" s="37" t="s">
        <v>134</v>
      </c>
      <c r="C29" s="37" t="s">
        <v>135</v>
      </c>
      <c r="D29" s="41" t="s">
        <v>145</v>
      </c>
      <c r="E29" s="37" t="s">
        <v>146</v>
      </c>
      <c r="F29" s="38"/>
      <c r="G29" s="37" t="s">
        <v>147</v>
      </c>
      <c r="H29" s="38"/>
      <c r="I29" s="38"/>
      <c r="J29" s="38"/>
      <c r="K29" s="38"/>
      <c r="L29" s="37" t="s">
        <v>148</v>
      </c>
    </row>
    <row r="30" spans="2:12" x14ac:dyDescent="0.45">
      <c r="B30" s="39"/>
      <c r="C30" s="39"/>
      <c r="D30" s="39" t="s">
        <v>105</v>
      </c>
      <c r="E30" s="39" t="s">
        <v>149</v>
      </c>
      <c r="F30" s="39" t="s">
        <v>105</v>
      </c>
      <c r="G30" s="39" t="s">
        <v>150</v>
      </c>
      <c r="H30" s="39" t="s">
        <v>149</v>
      </c>
      <c r="I30" s="39" t="s">
        <v>105</v>
      </c>
      <c r="J30" s="39"/>
      <c r="K30" s="39"/>
      <c r="L30" s="39"/>
    </row>
    <row r="31" spans="2:12" x14ac:dyDescent="0.45">
      <c r="B31" s="34">
        <v>1</v>
      </c>
      <c r="C31" s="25" t="s">
        <v>104</v>
      </c>
      <c r="D31" s="42">
        <f ca="1">Base1</f>
        <v>4.5131169980028893</v>
      </c>
      <c r="E31" s="43" cm="1">
        <f t="array" aca="1" ref="E31" ca="1">INDEX($D20:$H20,Weather)</f>
        <v>-0.02</v>
      </c>
      <c r="F31" s="42">
        <f t="shared" ref="F31:F36" ca="1" si="0">D31*(1+E31)</f>
        <v>4.4228546580428318</v>
      </c>
      <c r="G31" s="36" cm="1">
        <f t="array" aca="1" ref="G31" ca="1">_xll.VoseDiscrete(WeatherVals,WeatherProbs)</f>
        <v>3</v>
      </c>
      <c r="H31" s="43" cm="1">
        <f t="array" aca="1" ref="H31" ca="1">INDEX($D20:$H20,G31)</f>
        <v>0</v>
      </c>
      <c r="I31" s="42">
        <f t="shared" ref="I31:I36" ca="1" si="1">D31*(1+H31)</f>
        <v>4.5131169980028893</v>
      </c>
      <c r="J31" s="29"/>
      <c r="K31" s="29"/>
      <c r="L31" s="26" t="s">
        <v>151</v>
      </c>
    </row>
    <row r="32" spans="2:12" x14ac:dyDescent="0.45">
      <c r="B32" s="34">
        <v>2</v>
      </c>
      <c r="C32" s="25" t="s">
        <v>108</v>
      </c>
      <c r="D32" s="42">
        <f ca="1">Base2</f>
        <v>9.436914108073438</v>
      </c>
      <c r="E32" s="43" cm="1">
        <f t="array" aca="1" ref="E32" ca="1">INDEX($D21:$H21,Weather)</f>
        <v>-0.1</v>
      </c>
      <c r="F32" s="42">
        <f t="shared" ca="1" si="0"/>
        <v>8.4932226972660949</v>
      </c>
      <c r="G32" s="36" cm="1">
        <f t="array" aca="1" ref="G32" ca="1">_xll.VoseDiscrete(WeatherVals,WeatherProbs)</f>
        <v>5</v>
      </c>
      <c r="H32" s="43" cm="1">
        <f t="array" aca="1" ref="H32" ca="1">INDEX($D21:$H21,G32)</f>
        <v>-0.1</v>
      </c>
      <c r="I32" s="42">
        <f t="shared" ca="1" si="1"/>
        <v>8.4932226972660949</v>
      </c>
      <c r="J32" s="29"/>
      <c r="K32" s="29"/>
      <c r="L32" s="26" t="s">
        <v>152</v>
      </c>
    </row>
    <row r="33" spans="2:12" x14ac:dyDescent="0.45">
      <c r="B33" s="34">
        <v>3</v>
      </c>
      <c r="C33" s="25" t="s">
        <v>109</v>
      </c>
      <c r="D33" s="42">
        <f ca="1">Base3</f>
        <v>2.344877129494471</v>
      </c>
      <c r="E33" s="43" cm="1">
        <f t="array" aca="1" ref="E33" ca="1">INDEX($D22:$H22,Weather)</f>
        <v>-0.03</v>
      </c>
      <c r="F33" s="42">
        <f t="shared" ca="1" si="0"/>
        <v>2.2745308156096367</v>
      </c>
      <c r="G33" s="36" cm="1">
        <f t="array" aca="1" ref="G33" ca="1">_xll.VoseDiscrete(WeatherVals,WeatherProbs)</f>
        <v>2</v>
      </c>
      <c r="H33" s="43" cm="1">
        <f t="array" aca="1" ref="H33" ca="1">INDEX($D22:$H22,G33)</f>
        <v>0.04</v>
      </c>
      <c r="I33" s="42">
        <f t="shared" ca="1" si="1"/>
        <v>2.4386722146742499</v>
      </c>
      <c r="J33" s="29"/>
      <c r="K33" s="29"/>
      <c r="L33" s="26" t="s">
        <v>153</v>
      </c>
    </row>
    <row r="34" spans="2:12" x14ac:dyDescent="0.45">
      <c r="B34" s="34">
        <v>4</v>
      </c>
      <c r="C34" s="25" t="s">
        <v>110</v>
      </c>
      <c r="D34" s="42">
        <f ca="1">Base4</f>
        <v>7.1932382615837245</v>
      </c>
      <c r="E34" s="43" cm="1">
        <f t="array" aca="1" ref="E34" ca="1">INDEX($D23:$H23,Weather)</f>
        <v>-0.18</v>
      </c>
      <c r="F34" s="42">
        <f t="shared" ca="1" si="0"/>
        <v>5.8984553744986545</v>
      </c>
      <c r="G34" s="36" cm="1">
        <f t="array" aca="1" ref="G34" ca="1">_xll.VoseDiscrete(WeatherVals,WeatherProbs)</f>
        <v>4</v>
      </c>
      <c r="H34" s="43" cm="1">
        <f t="array" aca="1" ref="H34" ca="1">INDEX($D23:$H23,G34)</f>
        <v>-0.12</v>
      </c>
      <c r="I34" s="42">
        <f t="shared" ca="1" si="1"/>
        <v>6.3300496701936773</v>
      </c>
      <c r="J34" s="29"/>
      <c r="K34" s="29"/>
      <c r="L34" s="26" t="s">
        <v>154</v>
      </c>
    </row>
    <row r="35" spans="2:12" x14ac:dyDescent="0.45">
      <c r="B35" s="34">
        <v>5</v>
      </c>
      <c r="C35" s="25" t="s">
        <v>111</v>
      </c>
      <c r="D35" s="42">
        <f ca="1">Base5</f>
        <v>17.81076249984644</v>
      </c>
      <c r="E35" s="43" cm="1">
        <f t="array" aca="1" ref="E35" ca="1">INDEX($D24:$H24,Weather)</f>
        <v>-0.02</v>
      </c>
      <c r="F35" s="42">
        <f t="shared" ca="1" si="0"/>
        <v>17.454547249849512</v>
      </c>
      <c r="G35" s="36" cm="1">
        <f t="array" aca="1" ref="G35" ca="1">_xll.VoseDiscrete(WeatherVals,WeatherProbs)</f>
        <v>3</v>
      </c>
      <c r="H35" s="43" cm="1">
        <f t="array" aca="1" ref="H35" ca="1">INDEX($D24:$H24,G35)</f>
        <v>0</v>
      </c>
      <c r="I35" s="42">
        <f t="shared" ca="1" si="1"/>
        <v>17.81076249984644</v>
      </c>
      <c r="J35" s="29"/>
      <c r="K35" s="29"/>
      <c r="L35" s="26" t="s">
        <v>155</v>
      </c>
    </row>
    <row r="36" spans="2:12" x14ac:dyDescent="0.45">
      <c r="B36" s="34">
        <v>6</v>
      </c>
      <c r="C36" s="25" t="s">
        <v>112</v>
      </c>
      <c r="D36" s="42">
        <f ca="1">Base6</f>
        <v>6.7278884751893946</v>
      </c>
      <c r="E36" s="43" cm="1">
        <f t="array" aca="1" ref="E36" ca="1">INDEX($D25:$H25,Weather)</f>
        <v>-0.06</v>
      </c>
      <c r="F36" s="42">
        <f t="shared" ca="1" si="0"/>
        <v>6.3242151666780302</v>
      </c>
      <c r="G36" s="36" cm="1">
        <f t="array" aca="1" ref="G36" ca="1">_xll.VoseDiscrete(WeatherVals,WeatherProbs)</f>
        <v>4</v>
      </c>
      <c r="H36" s="43" cm="1">
        <f t="array" aca="1" ref="H36" ca="1">INDEX($D25:$H25,G36)</f>
        <v>-0.04</v>
      </c>
      <c r="I36" s="42">
        <f t="shared" ca="1" si="1"/>
        <v>6.4587729361818189</v>
      </c>
      <c r="J36" s="29"/>
      <c r="K36" s="29"/>
      <c r="L36" s="29"/>
    </row>
    <row r="37" spans="2:12" x14ac:dyDescent="0.45">
      <c r="B37" s="44"/>
      <c r="C37" s="45" t="s">
        <v>156</v>
      </c>
      <c r="D37" s="46">
        <f ca="1">SUM(D31:D36)</f>
        <v>48.02679747219036</v>
      </c>
      <c r="E37" s="44"/>
      <c r="F37" s="46">
        <f ca="1">SUM(F31:F36)</f>
        <v>44.86782596194476</v>
      </c>
      <c r="G37" s="44"/>
      <c r="H37" s="44"/>
      <c r="I37" s="46">
        <f ca="1">SUM(I31:I36)</f>
        <v>46.04459701616517</v>
      </c>
      <c r="J37" s="44"/>
      <c r="K37" s="44"/>
      <c r="L37" s="44"/>
    </row>
    <row r="38" spans="2:12" ht="8" customHeight="1" x14ac:dyDescent="0.45"/>
    <row r="39" spans="2:12" ht="22.05" customHeight="1" x14ac:dyDescent="0.5">
      <c r="B39" s="7" t="s">
        <v>157</v>
      </c>
      <c r="C39" s="8"/>
      <c r="D39" s="8"/>
      <c r="E39" s="8"/>
      <c r="F39" s="8"/>
      <c r="G39" s="8"/>
      <c r="H39" s="8"/>
      <c r="I39" s="8"/>
      <c r="J39" s="8"/>
      <c r="K39" s="8"/>
      <c r="L39" s="8"/>
    </row>
    <row r="40" spans="2:12" ht="18" customHeight="1" x14ac:dyDescent="0.45">
      <c r="B40" s="13" t="s">
        <v>158</v>
      </c>
    </row>
    <row r="41" spans="2:12" ht="18" customHeight="1" x14ac:dyDescent="0.45">
      <c r="B41" s="5"/>
      <c r="C41" s="32" t="s">
        <v>159</v>
      </c>
      <c r="D41" s="32" t="s">
        <v>96</v>
      </c>
      <c r="E41" s="33" t="s">
        <v>160</v>
      </c>
      <c r="F41" s="5"/>
      <c r="G41" s="5"/>
      <c r="H41" s="5"/>
      <c r="I41" s="5"/>
      <c r="J41" s="5"/>
      <c r="K41" s="5"/>
      <c r="L41" s="32" t="s">
        <v>161</v>
      </c>
    </row>
    <row r="42" spans="2:12" x14ac:dyDescent="0.45">
      <c r="B42" s="29"/>
      <c r="C42" s="25" t="s">
        <v>162</v>
      </c>
      <c r="D42" s="26" t="s">
        <v>105</v>
      </c>
      <c r="E42" s="47" cm="1">
        <f t="array" aca="1" ref="E42" ca="1">_xll.VoseOutput("Total, no weather effect","weeks")+D37</f>
        <v>48.02679747219036</v>
      </c>
      <c r="F42" s="29"/>
      <c r="G42" s="29"/>
      <c r="H42" s="29"/>
      <c r="I42" s="29"/>
      <c r="J42" s="29"/>
      <c r="K42" s="29"/>
      <c r="L42" s="26"/>
    </row>
    <row r="43" spans="2:12" x14ac:dyDescent="0.45">
      <c r="B43" s="29"/>
      <c r="C43" s="25" t="s">
        <v>163</v>
      </c>
      <c r="D43" s="26" t="s">
        <v>105</v>
      </c>
      <c r="E43" s="47" cm="1">
        <f t="array" aca="1" ref="E43" ca="1">_xll.VoseOutput("Total, shared weather","weeks")+F37</f>
        <v>44.86782596194476</v>
      </c>
      <c r="F43" s="29"/>
      <c r="G43" s="29"/>
      <c r="H43" s="29"/>
      <c r="I43" s="29"/>
      <c r="J43" s="29"/>
      <c r="K43" s="29"/>
      <c r="L43" s="26" t="s">
        <v>164</v>
      </c>
    </row>
    <row r="44" spans="2:12" x14ac:dyDescent="0.45">
      <c r="B44" s="29"/>
      <c r="C44" s="25" t="s">
        <v>165</v>
      </c>
      <c r="D44" s="26" t="s">
        <v>105</v>
      </c>
      <c r="E44" s="47" cm="1">
        <f t="array" aca="1" ref="E44" ca="1">_xll.VoseOutput("Total, independent weather","weeks")+I37</f>
        <v>46.04459701616517</v>
      </c>
      <c r="F44" s="29"/>
      <c r="G44" s="29"/>
      <c r="H44" s="29"/>
      <c r="I44" s="29"/>
      <c r="J44" s="29"/>
      <c r="K44" s="29"/>
      <c r="L44" s="26" t="s">
        <v>166</v>
      </c>
    </row>
    <row r="45" spans="2:12" x14ac:dyDescent="0.45">
      <c r="B45" s="29"/>
      <c r="C45" s="25" t="s">
        <v>167</v>
      </c>
      <c r="D45" s="26" t="s">
        <v>168</v>
      </c>
      <c r="E45" s="48">
        <f ca="1">IF(TotalShared&gt;Deadline,1,0)</f>
        <v>0</v>
      </c>
      <c r="F45" s="29"/>
      <c r="G45" s="29"/>
      <c r="H45" s="29"/>
      <c r="I45" s="29"/>
      <c r="J45" s="29"/>
      <c r="K45" s="29"/>
      <c r="L45" s="26"/>
    </row>
    <row r="46" spans="2:12" x14ac:dyDescent="0.45">
      <c r="B46" s="29"/>
      <c r="C46" s="25" t="s">
        <v>169</v>
      </c>
      <c r="D46" s="26" t="s">
        <v>168</v>
      </c>
      <c r="E46" s="48">
        <f ca="1">IF(TotalOwn&gt;Deadline,1,0)</f>
        <v>0</v>
      </c>
      <c r="F46" s="29"/>
      <c r="G46" s="29"/>
      <c r="H46" s="29"/>
      <c r="I46" s="29"/>
      <c r="J46" s="29"/>
      <c r="K46" s="29"/>
      <c r="L46" s="26"/>
    </row>
    <row r="47" spans="2:12" ht="8" customHeight="1" x14ac:dyDescent="0.45"/>
    <row r="48" spans="2:12" ht="22.05" customHeight="1" x14ac:dyDescent="0.5">
      <c r="B48" s="7" t="s">
        <v>170</v>
      </c>
      <c r="C48" s="8"/>
      <c r="D48" s="8"/>
      <c r="E48" s="8"/>
      <c r="F48" s="8"/>
      <c r="G48" s="8"/>
      <c r="H48" s="8"/>
      <c r="I48" s="8"/>
      <c r="J48" s="8"/>
      <c r="K48" s="8"/>
      <c r="L48" s="8"/>
    </row>
    <row r="49" spans="2:12" ht="18" customHeight="1" x14ac:dyDescent="0.45">
      <c r="B49" s="13" t="s">
        <v>171</v>
      </c>
    </row>
    <row r="50" spans="2:12" x14ac:dyDescent="0.45">
      <c r="B50" s="29"/>
      <c r="C50" s="25" t="s">
        <v>172</v>
      </c>
      <c r="D50" s="29"/>
      <c r="E50" s="29"/>
      <c r="F50" s="49" t="str">
        <f>IF(SUMPRODUCT(ABS(F20:F25))=0,"OK","CHECK")</f>
        <v>OK</v>
      </c>
      <c r="G50" s="29"/>
      <c r="H50" s="29"/>
      <c r="I50" s="29"/>
      <c r="J50" s="29"/>
      <c r="K50" s="29"/>
      <c r="L50" s="29"/>
    </row>
    <row r="51" spans="2:12" x14ac:dyDescent="0.45">
      <c r="B51" s="29"/>
      <c r="C51" s="25" t="s">
        <v>173</v>
      </c>
      <c r="D51" s="29"/>
      <c r="E51" s="29"/>
      <c r="F51" s="49" t="str">
        <f>IF(ABS(SUM(WeatherProbs)-1)&lt;0.0001,"OK","CHECK")</f>
        <v>OK</v>
      </c>
      <c r="G51" s="29"/>
      <c r="H51" s="29"/>
      <c r="I51" s="29"/>
      <c r="J51" s="29"/>
      <c r="K51" s="29"/>
      <c r="L51" s="29"/>
    </row>
    <row r="52" spans="2:12" ht="14" customHeight="1" x14ac:dyDescent="0.45"/>
  </sheetData>
  <conditionalFormatting sqref="F50:F51">
    <cfRule type="expression" dxfId="4" priority="1">
      <formula>F50="CHECK"</formula>
    </cfRule>
  </conditionalFormatting>
  <dataValidations count="2">
    <dataValidation type="decimal" showErrorMessage="1" errorTitle="Probability" error="Enter a value between 0% and 100%." sqref="D9:D13" xr:uid="{00000000-0002-0000-0200-000000000000}">
      <formula1>0</formula1>
      <formula2>1</formula2>
    </dataValidation>
    <dataValidation type="decimal" showErrorMessage="1" errorTitle="Change" error="Enter a change between -90% and +500%." sqref="D20:H25" xr:uid="{00000000-0002-0000-0200-000001000000}">
      <formula1>-0.9</formula1>
      <formula2>5</formula2>
    </dataValidation>
  </dataValidations>
  <hyperlinks>
    <hyperlink ref="B4" location="'Inputs'!A1" display="◂  Inputs" xr:uid="{00000000-0004-0000-0200-000000000000}"/>
    <hyperlink ref="L4" location="'Results'!A1" display="Next:  Results  ▸" xr:uid="{00000000-0004-0000-0200-000001000000}"/>
  </hyperlinks>
  <printOptions horizontalCentered="1"/>
  <pageMargins left="0.4" right="0.4" top="0.5" bottom="0.6" header="0.25" footer="0.25"/>
  <pageSetup paperSize="9" scale="7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15803D"/>
    <outlinePr summaryBelow="0"/>
    <pageSetUpPr fitToPage="1"/>
  </sheetPr>
  <dimension ref="A1:R11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174</v>
      </c>
      <c r="C3" s="1"/>
      <c r="D3" s="1"/>
      <c r="E3" s="1"/>
      <c r="F3" s="1"/>
      <c r="G3" s="1"/>
      <c r="H3" s="1"/>
      <c r="I3" s="1"/>
      <c r="J3" s="1"/>
      <c r="K3" s="1"/>
      <c r="L3" s="1"/>
      <c r="M3" s="1"/>
      <c r="N3" s="1"/>
      <c r="O3" s="1"/>
      <c r="P3" s="1"/>
      <c r="Q3" s="1"/>
      <c r="R3" s="1"/>
    </row>
    <row r="4" spans="1:18" ht="20" customHeight="1" x14ac:dyDescent="0.45">
      <c r="A4" s="5"/>
      <c r="B4" s="22" t="s">
        <v>175</v>
      </c>
      <c r="C4" s="5"/>
      <c r="D4" s="5"/>
      <c r="E4" s="5"/>
      <c r="F4" s="5"/>
      <c r="G4" s="5"/>
      <c r="H4" s="5"/>
      <c r="I4" s="5"/>
      <c r="J4" s="5"/>
      <c r="K4" s="5"/>
      <c r="L4" s="5"/>
      <c r="M4" s="5"/>
      <c r="N4" s="5"/>
      <c r="O4" s="5"/>
      <c r="P4" s="5"/>
      <c r="Q4" s="5"/>
      <c r="R4" s="5"/>
    </row>
    <row r="5" spans="1:18" ht="8" customHeight="1" x14ac:dyDescent="0.45"/>
    <row r="6" spans="1:18" ht="26" customHeight="1" x14ac:dyDescent="0.45">
      <c r="B6" s="50" t="str" cm="1">
        <f t="array" aca="1" ref="B6" ca="1">IF(ISNUMBER(_xll.VoseSimMean(TotalShared)),"✔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1"/>
      <c r="D6" s="51"/>
      <c r="E6" s="51"/>
      <c r="F6" s="51"/>
      <c r="G6" s="51"/>
    </row>
    <row r="7" spans="1:18" x14ac:dyDescent="0.45">
      <c r="B7" s="5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176</v>
      </c>
      <c r="C9" s="8"/>
      <c r="D9" s="8"/>
      <c r="E9" s="8"/>
      <c r="F9" s="8"/>
      <c r="G9" s="8"/>
      <c r="I9" s="53" t="s">
        <v>177</v>
      </c>
      <c r="J9" s="8"/>
      <c r="K9" s="8"/>
      <c r="L9" s="8"/>
      <c r="M9" s="8"/>
      <c r="N9" s="8"/>
      <c r="O9" s="8"/>
      <c r="P9" s="8"/>
      <c r="Q9" s="8"/>
      <c r="R9" s="8"/>
    </row>
    <row r="10" spans="1:18" ht="18" customHeight="1" x14ac:dyDescent="0.45">
      <c r="B10" s="13" t="s">
        <v>178</v>
      </c>
    </row>
    <row r="11" spans="1:18" ht="18" customHeight="1" x14ac:dyDescent="0.45">
      <c r="B11" s="23" t="s">
        <v>179</v>
      </c>
      <c r="C11" s="23" t="s">
        <v>96</v>
      </c>
      <c r="D11" s="24" t="s">
        <v>180</v>
      </c>
      <c r="E11" s="24" t="s">
        <v>181</v>
      </c>
      <c r="F11" s="24" t="s">
        <v>182</v>
      </c>
      <c r="G11" s="24" t="s">
        <v>102</v>
      </c>
    </row>
    <row r="12" spans="1:18" x14ac:dyDescent="0.45">
      <c r="B12" s="25" t="s">
        <v>183</v>
      </c>
      <c r="C12" s="26" t="s">
        <v>105</v>
      </c>
      <c r="D12" s="54" cm="1">
        <f t="array" aca="1" ref="D12" ca="1">_xll.VoseSimPercentile(TotalBase,0.1)</f>
        <v>47.598734504664215</v>
      </c>
      <c r="E12" s="54" cm="1">
        <f t="array" aca="1" ref="E12" ca="1">_xll.VoseSimPercentile(TotalBase,0.5)</f>
        <v>49.956103524676259</v>
      </c>
      <c r="F12" s="54" cm="1">
        <f t="array" aca="1" ref="F12" ca="1">_xll.VoseSimPercentile(TotalBase,0.9)</f>
        <v>52.504391820785926</v>
      </c>
      <c r="G12" s="54" cm="1">
        <f t="array" aca="1" ref="G12" ca="1">_xll.VoseSimMean(TotalBase)</f>
        <v>50.006925697725961</v>
      </c>
    </row>
    <row r="13" spans="1:18" x14ac:dyDescent="0.45">
      <c r="B13" s="25" t="s">
        <v>146</v>
      </c>
      <c r="C13" s="26" t="s">
        <v>105</v>
      </c>
      <c r="D13" s="54" cm="1">
        <f t="array" aca="1" ref="D13" ca="1">_xll.VoseSimPercentile(TotalShared,0.1)</f>
        <v>46.46285891271706</v>
      </c>
      <c r="E13" s="54" cm="1">
        <f t="array" aca="1" ref="E13" ca="1">_xll.VoseSimPercentile(TotalShared,0.5)</f>
        <v>51.354838784359245</v>
      </c>
      <c r="F13" s="54" cm="1">
        <f t="array" aca="1" ref="F13" ca="1">_xll.VoseSimPercentile(TotalShared,0.9)</f>
        <v>60.30721379381928</v>
      </c>
      <c r="G13" s="54" cm="1">
        <f t="array" aca="1" ref="G13" ca="1">_xll.VoseSimMean(TotalShared)</f>
        <v>52.718645321572303</v>
      </c>
    </row>
    <row r="14" spans="1:18" x14ac:dyDescent="0.45">
      <c r="B14" s="25" t="s">
        <v>147</v>
      </c>
      <c r="C14" s="26" t="s">
        <v>105</v>
      </c>
      <c r="D14" s="54" cm="1">
        <f t="array" aca="1" ref="D14" ca="1">_xll.VoseSimPercentile(TotalOwn,0.1)</f>
        <v>48.821793643504357</v>
      </c>
      <c r="E14" s="54" cm="1">
        <f t="array" aca="1" ref="E14" ca="1">_xll.VoseSimPercentile(TotalOwn,0.5)</f>
        <v>52.623763396097551</v>
      </c>
      <c r="F14" s="54" cm="1">
        <f t="array" aca="1" ref="F14" ca="1">_xll.VoseSimPercentile(TotalOwn,0.9)</f>
        <v>56.804256182937579</v>
      </c>
      <c r="G14" s="54" cm="1">
        <f t="array" aca="1" ref="G14" ca="1">_xll.VoseSimMean(TotalOwn)</f>
        <v>52.720157523576063</v>
      </c>
    </row>
    <row r="15" spans="1:18" ht="18" customHeight="1" x14ac:dyDescent="0.45">
      <c r="B15" s="23" t="s">
        <v>179</v>
      </c>
      <c r="C15" s="23" t="s">
        <v>96</v>
      </c>
      <c r="D15" s="24" t="s">
        <v>160</v>
      </c>
      <c r="E15" s="5"/>
      <c r="F15" s="5"/>
      <c r="G15" s="5"/>
    </row>
    <row r="16" spans="1:18" x14ac:dyDescent="0.45">
      <c r="B16" s="34" t="s">
        <v>184</v>
      </c>
      <c r="C16" s="26" t="s">
        <v>105</v>
      </c>
      <c r="D16" s="55" cm="1">
        <f t="array" aca="1" ref="D16" ca="1">_xll.VoseSimStdev(TotalShared)</f>
        <v>5.3552171322098143</v>
      </c>
      <c r="E16" s="29"/>
      <c r="F16" s="29"/>
      <c r="G16" s="29"/>
    </row>
    <row r="17" spans="2:18" x14ac:dyDescent="0.45">
      <c r="B17" s="25" t="s">
        <v>185</v>
      </c>
      <c r="C17" s="26" t="s">
        <v>105</v>
      </c>
      <c r="D17" s="55" cm="1">
        <f t="array" aca="1" ref="D17" ca="1">_xll.VoseSimStdev(TotalOwn)</f>
        <v>3.0974091318885892</v>
      </c>
      <c r="E17" s="29"/>
      <c r="F17" s="29"/>
      <c r="G17" s="29"/>
    </row>
    <row r="18" spans="2:18" x14ac:dyDescent="0.45">
      <c r="B18" s="25" t="s">
        <v>186</v>
      </c>
      <c r="C18" s="26" t="s">
        <v>105</v>
      </c>
      <c r="D18" s="55" cm="1">
        <f t="array" aca="1" ref="D18" ca="1">_xll.VoseSimStdev(TotalBase)</f>
        <v>1.8783417384327648</v>
      </c>
      <c r="E18" s="29"/>
      <c r="F18" s="29"/>
      <c r="G18" s="29"/>
    </row>
    <row r="19" spans="2:18" ht="8" customHeight="1" x14ac:dyDescent="0.45"/>
    <row r="20" spans="2:18" ht="22.05" customHeight="1" x14ac:dyDescent="0.5">
      <c r="B20" s="7" t="s">
        <v>187</v>
      </c>
      <c r="C20" s="8"/>
      <c r="D20" s="8"/>
      <c r="E20" s="8"/>
      <c r="F20" s="8"/>
      <c r="G20" s="8"/>
    </row>
    <row r="21" spans="2:18" ht="18" customHeight="1" x14ac:dyDescent="0.45">
      <c r="B21" s="13" t="s">
        <v>188</v>
      </c>
    </row>
    <row r="22" spans="2:18" ht="18" customHeight="1" x14ac:dyDescent="0.45">
      <c r="B22" s="23" t="s">
        <v>179</v>
      </c>
      <c r="C22" s="23" t="s">
        <v>96</v>
      </c>
      <c r="D22" s="24" t="s">
        <v>160</v>
      </c>
      <c r="E22" s="5"/>
      <c r="F22" s="5"/>
      <c r="G22" s="5"/>
    </row>
    <row r="23" spans="2:18" ht="22.05" customHeight="1" x14ac:dyDescent="0.45">
      <c r="B23" s="34" t="s">
        <v>189</v>
      </c>
      <c r="C23" s="26" t="s">
        <v>190</v>
      </c>
      <c r="D23" s="56" cm="1">
        <f t="array" aca="1" ref="D23" ca="1">_xll.VoseSimMean(LateShared)</f>
        <v>0.36649999999999999</v>
      </c>
      <c r="E23" s="29"/>
      <c r="F23" s="29"/>
      <c r="G23" s="29"/>
    </row>
    <row r="24" spans="2:18" x14ac:dyDescent="0.45">
      <c r="B24" s="25" t="s">
        <v>191</v>
      </c>
      <c r="C24" s="26" t="s">
        <v>190</v>
      </c>
      <c r="D24" s="57" cm="1">
        <f t="array" aca="1" ref="D24" ca="1">_xll.VoseSimMean(LateOwn)</f>
        <v>0.23039999999999999</v>
      </c>
      <c r="E24" s="29"/>
      <c r="F24" s="29"/>
      <c r="G24" s="29"/>
    </row>
    <row r="25" spans="2:18" x14ac:dyDescent="0.45">
      <c r="B25" s="25" t="s">
        <v>192</v>
      </c>
      <c r="C25" s="26"/>
      <c r="D25" s="58" cm="1">
        <f t="array" aca="1" ref="D25" ca="1">_xll.VoseSimCorrelation(Activities!$F$32,Activities!$F$34,0)</f>
        <v>0.79129834477698346</v>
      </c>
      <c r="E25" s="29"/>
      <c r="F25" s="29"/>
      <c r="G25" s="29"/>
    </row>
    <row r="26" spans="2:18" x14ac:dyDescent="0.45">
      <c r="B26" s="25" t="s">
        <v>193</v>
      </c>
      <c r="C26" s="26"/>
      <c r="D26" s="58" cm="1">
        <f t="array" aca="1" ref="D26" ca="1">_xll.VoseSimCorrelation(Activities!$I$32,Activities!$I$34,0)</f>
        <v>8.4943470369434754E-3</v>
      </c>
      <c r="E26" s="29"/>
      <c r="F26" s="29"/>
      <c r="G26" s="29"/>
    </row>
    <row r="27" spans="2:18" ht="22.05" customHeight="1" x14ac:dyDescent="0.5">
      <c r="B27" s="7" t="s">
        <v>194</v>
      </c>
      <c r="C27" s="8"/>
      <c r="D27" s="8"/>
      <c r="E27" s="8"/>
      <c r="F27" s="8"/>
      <c r="G27" s="8"/>
      <c r="I27" s="53" t="s">
        <v>195</v>
      </c>
      <c r="J27" s="8"/>
      <c r="K27" s="8"/>
      <c r="L27" s="8"/>
      <c r="M27" s="8"/>
      <c r="N27" s="8"/>
      <c r="O27" s="8"/>
      <c r="P27" s="8"/>
      <c r="Q27" s="8"/>
      <c r="R27" s="8"/>
    </row>
    <row r="28" spans="2:18" ht="18" customHeight="1" x14ac:dyDescent="0.45">
      <c r="B28" s="13" t="s">
        <v>196</v>
      </c>
    </row>
    <row r="29" spans="2:18" ht="18" customHeight="1" x14ac:dyDescent="0.45">
      <c r="B29" s="23" t="s">
        <v>197</v>
      </c>
      <c r="C29" s="24" t="s">
        <v>198</v>
      </c>
      <c r="D29" s="24" t="s">
        <v>199</v>
      </c>
      <c r="E29" s="59" t="s">
        <v>200</v>
      </c>
      <c r="F29" s="5"/>
      <c r="G29" s="5"/>
    </row>
    <row r="30" spans="2:18" x14ac:dyDescent="0.45">
      <c r="B30" s="25" t="str">
        <f t="array" aca="1" ref="B30:E36" ca="1">_xll.VoseSimSensitivityMean(TotalShared,10,1,FALSE)</f>
        <v>Weather index this season</v>
      </c>
      <c r="C30" s="54">
        <f ca="1"/>
        <v>46.640528518027111</v>
      </c>
      <c r="D30" s="54">
        <f ca="1"/>
        <v>61.464481043120252</v>
      </c>
      <c r="E30" s="60">
        <f ca="1"/>
        <v>1</v>
      </c>
      <c r="F30" s="29"/>
      <c r="G30" s="29"/>
    </row>
    <row r="31" spans="2:18" x14ac:dyDescent="0.45">
      <c r="B31" s="25" t="str">
        <f ca="1"/>
        <v>Walls and floors</v>
      </c>
      <c r="C31" s="54">
        <f ca="1"/>
        <v>50.61741916544743</v>
      </c>
      <c r="D31" s="54">
        <f ca="1"/>
        <v>55.044650535787127</v>
      </c>
      <c r="E31" s="60">
        <f ca="1"/>
        <v>2</v>
      </c>
      <c r="F31" s="29"/>
      <c r="G31" s="29"/>
    </row>
    <row r="32" spans="2:18" x14ac:dyDescent="0.45">
      <c r="B32" s="25" t="str">
        <f ca="1"/>
        <v>Dig foundations</v>
      </c>
      <c r="C32" s="54">
        <f ca="1"/>
        <v>51.234570305801959</v>
      </c>
      <c r="D32" s="54">
        <f ca="1"/>
        <v>54.351104350017287</v>
      </c>
      <c r="E32" s="60">
        <f ca="1"/>
        <v>3</v>
      </c>
      <c r="F32" s="29"/>
      <c r="G32" s="29"/>
    </row>
    <row r="33" spans="2:7" x14ac:dyDescent="0.45">
      <c r="B33" s="25" t="str">
        <f ca="1"/>
        <v>Archaeology</v>
      </c>
      <c r="C33" s="54">
        <f ca="1"/>
        <v>51.66949781240416</v>
      </c>
      <c r="D33" s="54">
        <f ca="1"/>
        <v>54.482832177070762</v>
      </c>
      <c r="E33" s="60">
        <f ca="1"/>
        <v>4</v>
      </c>
      <c r="F33" s="29"/>
      <c r="G33" s="29"/>
    </row>
    <row r="34" spans="2:7" x14ac:dyDescent="0.45">
      <c r="B34" s="25" t="str">
        <f ca="1"/>
        <v>Lay foundations</v>
      </c>
      <c r="C34" s="54">
        <f ca="1"/>
        <v>51.693026350263672</v>
      </c>
      <c r="D34" s="54">
        <f ca="1"/>
        <v>54.057262184605086</v>
      </c>
      <c r="E34" s="60">
        <f ca="1"/>
        <v>5</v>
      </c>
      <c r="F34" s="29"/>
      <c r="G34" s="29"/>
    </row>
    <row r="35" spans="2:7" x14ac:dyDescent="0.45">
      <c r="B35" s="25" t="str">
        <f ca="1"/>
        <v>Lay roofing</v>
      </c>
      <c r="C35" s="54">
        <f ca="1"/>
        <v>51.870902338175199</v>
      </c>
      <c r="D35" s="54">
        <f ca="1"/>
        <v>54.098657339867003</v>
      </c>
      <c r="E35" s="60">
        <f ca="1"/>
        <v>6</v>
      </c>
      <c r="F35" s="29"/>
      <c r="G35" s="29"/>
    </row>
    <row r="36" spans="2:7" x14ac:dyDescent="0.45">
      <c r="B36" s="25" t="str">
        <f ca="1"/>
        <v>Formwork</v>
      </c>
      <c r="C36" s="54">
        <f ca="1"/>
        <v>52.323301692551546</v>
      </c>
      <c r="D36" s="54">
        <f ca="1"/>
        <v>53.362205590237878</v>
      </c>
      <c r="E36" s="60">
        <f ca="1"/>
        <v>7</v>
      </c>
      <c r="F36" s="29"/>
      <c r="G36" s="29"/>
    </row>
    <row r="41" spans="2:7" ht="22.05" customHeight="1" x14ac:dyDescent="0.5">
      <c r="B41" s="7" t="s">
        <v>201</v>
      </c>
      <c r="C41" s="8"/>
      <c r="D41" s="8"/>
      <c r="E41" s="8"/>
      <c r="F41" s="8"/>
      <c r="G41" s="8"/>
    </row>
    <row r="42" spans="2:7" ht="19.05" customHeight="1" x14ac:dyDescent="0.45">
      <c r="B42" s="69" t="s">
        <v>202</v>
      </c>
      <c r="C42" s="68"/>
      <c r="D42" s="68"/>
      <c r="E42" s="68"/>
      <c r="F42" s="68"/>
      <c r="G42" s="68"/>
    </row>
    <row r="43" spans="2:7" ht="45" customHeight="1" x14ac:dyDescent="0.45">
      <c r="B43" s="69" t="s">
        <v>203</v>
      </c>
      <c r="C43" s="68"/>
      <c r="D43" s="68"/>
      <c r="E43" s="68"/>
      <c r="F43" s="68"/>
      <c r="G43" s="68"/>
    </row>
    <row r="44" spans="2:7" ht="32" customHeight="1" x14ac:dyDescent="0.45">
      <c r="B44" s="69" t="s">
        <v>204</v>
      </c>
      <c r="C44" s="68"/>
      <c r="D44" s="68"/>
      <c r="E44" s="68"/>
      <c r="F44" s="68"/>
      <c r="G44" s="68"/>
    </row>
    <row r="45" spans="2:7" ht="32" customHeight="1" x14ac:dyDescent="0.45">
      <c r="B45" s="69" t="s">
        <v>205</v>
      </c>
      <c r="C45" s="68"/>
      <c r="D45" s="68"/>
      <c r="E45" s="68"/>
      <c r="F45" s="68"/>
      <c r="G45" s="68"/>
    </row>
    <row r="46" spans="2:7" ht="14" customHeight="1" x14ac:dyDescent="0.45"/>
    <row r="47" spans="2:7" ht="14" customHeight="1" x14ac:dyDescent="0.45"/>
    <row r="48" spans="2:7" ht="22.05" customHeight="1" x14ac:dyDescent="0.5">
      <c r="B48" s="7" t="s">
        <v>206</v>
      </c>
      <c r="C48" s="8"/>
      <c r="D48" s="8"/>
      <c r="E48" s="8"/>
      <c r="F48" s="8"/>
      <c r="G48" s="8"/>
    </row>
    <row r="49" spans="2:7" ht="18" customHeight="1" x14ac:dyDescent="0.45">
      <c r="B49" s="13" t="s">
        <v>207</v>
      </c>
    </row>
    <row r="50" spans="2:7" ht="28.05" hidden="1" customHeight="1" outlineLevel="1" x14ac:dyDescent="0.45">
      <c r="B50" s="24" t="s">
        <v>208</v>
      </c>
      <c r="C50" s="24" t="s">
        <v>209</v>
      </c>
      <c r="D50" s="24" t="s">
        <v>210</v>
      </c>
      <c r="E50" s="24" t="s">
        <v>211</v>
      </c>
      <c r="F50" s="24" t="s">
        <v>212</v>
      </c>
      <c r="G50" s="24" t="s">
        <v>213</v>
      </c>
    </row>
    <row r="51" spans="2:7" hidden="1" outlineLevel="1" x14ac:dyDescent="0.45">
      <c r="B51" s="61">
        <v>0.01</v>
      </c>
      <c r="C51" s="61">
        <f t="shared" ref="C51:C82" si="0">1-B51</f>
        <v>0.99</v>
      </c>
      <c r="D51" s="62" cm="1">
        <f t="array" aca="1" ref="D51" ca="1">IF(ISNUMBER(_xll.VoseSimPercentile(TotalShared,$B51)),_xll.VoseSimPercentile(TotalShared,$B51),NA())</f>
        <v>44.046297462002492</v>
      </c>
      <c r="E51" s="62" cm="1">
        <f t="array" aca="1" ref="E51" ca="1">IF(ISNUMBER(_xll.VoseSimPercentile(TotalOwn,$B51)),_xll.VoseSimPercentile(TotalOwn,$B51),NA())</f>
        <v>46.034347250317154</v>
      </c>
      <c r="F51" s="62" cm="1">
        <f t="array" aca="1" ref="F51" ca="1">IF(ISNUMBER(_xll.VoseSimPercentile(TotalBase,$B51)),_xll.VoseSimPercentile(TotalBase,$B51),NA())</f>
        <v>45.976042175820801</v>
      </c>
      <c r="G51" s="62">
        <f t="shared" ref="G51:G82" si="1">Deadline</f>
        <v>55</v>
      </c>
    </row>
    <row r="52" spans="2:7" hidden="1" outlineLevel="1" x14ac:dyDescent="0.45">
      <c r="B52" s="61">
        <v>0.03</v>
      </c>
      <c r="C52" s="61">
        <f t="shared" si="0"/>
        <v>0.97</v>
      </c>
      <c r="D52" s="62" cm="1">
        <f t="array" aca="1" ref="D52" ca="1">IF(ISNUMBER(_xll.VoseSimPercentile(TotalShared,$B52)),_xll.VoseSimPercentile(TotalShared,$B52),NA())</f>
        <v>44.930998459732344</v>
      </c>
      <c r="E52" s="62" cm="1">
        <f t="array" aca="1" ref="E52" ca="1">IF(ISNUMBER(_xll.VoseSimPercentile(TotalOwn,$B52)),_xll.VoseSimPercentile(TotalOwn,$B52),NA())</f>
        <v>47.121409767376328</v>
      </c>
      <c r="F52" s="62" cm="1">
        <f t="array" aca="1" ref="F52" ca="1">IF(ISNUMBER(_xll.VoseSimPercentile(TotalBase,$B52)),_xll.VoseSimPercentile(TotalBase,$B52),NA())</f>
        <v>46.649377611632659</v>
      </c>
      <c r="G52" s="62">
        <f t="shared" si="1"/>
        <v>55</v>
      </c>
    </row>
    <row r="53" spans="2:7" hidden="1" outlineLevel="1" x14ac:dyDescent="0.45">
      <c r="B53" s="61">
        <v>0.05</v>
      </c>
      <c r="C53" s="61">
        <f t="shared" si="0"/>
        <v>0.95</v>
      </c>
      <c r="D53" s="62" cm="1">
        <f t="array" aca="1" ref="D53" ca="1">IF(ISNUMBER(_xll.VoseSimPercentile(TotalShared,$B53)),_xll.VoseSimPercentile(TotalShared,$B53),NA())</f>
        <v>45.523878321015204</v>
      </c>
      <c r="E53" s="62" cm="1">
        <f t="array" aca="1" ref="E53" ca="1">IF(ISNUMBER(_xll.VoseSimPercentile(TotalOwn,$B53)),_xll.VoseSimPercentile(TotalOwn,$B53),NA())</f>
        <v>47.736900525520269</v>
      </c>
      <c r="F53" s="62" cm="1">
        <f t="array" aca="1" ref="F53" ca="1">IF(ISNUMBER(_xll.VoseSimPercentile(TotalBase,$B53)),_xll.VoseSimPercentile(TotalBase,$B53),NA())</f>
        <v>47.012291898408392</v>
      </c>
      <c r="G53" s="62">
        <f t="shared" si="1"/>
        <v>55</v>
      </c>
    </row>
    <row r="54" spans="2:7" hidden="1" outlineLevel="1" x14ac:dyDescent="0.45">
      <c r="B54" s="61">
        <v>7.0000000000000007E-2</v>
      </c>
      <c r="C54" s="61">
        <f t="shared" si="0"/>
        <v>0.92999999999999994</v>
      </c>
      <c r="D54" s="62" cm="1">
        <f t="array" aca="1" ref="D54" ca="1">IF(ISNUMBER(_xll.VoseSimPercentile(TotalShared,$B54)),_xll.VoseSimPercentile(TotalShared,$B54),NA())</f>
        <v>45.94021893116355</v>
      </c>
      <c r="E54" s="62" cm="1">
        <f t="array" aca="1" ref="E54" ca="1">IF(ISNUMBER(_xll.VoseSimPercentile(TotalOwn,$B54)),_xll.VoseSimPercentile(TotalOwn,$B54),NA())</f>
        <v>48.207104261987325</v>
      </c>
      <c r="F54" s="62" cm="1">
        <f t="array" aca="1" ref="F54" ca="1">IF(ISNUMBER(_xll.VoseSimPercentile(TotalBase,$B54)),_xll.VoseSimPercentile(TotalBase,$B54),NA())</f>
        <v>47.299655743661077</v>
      </c>
      <c r="G54" s="62">
        <f t="shared" si="1"/>
        <v>55</v>
      </c>
    </row>
    <row r="55" spans="2:7" hidden="1" outlineLevel="1" x14ac:dyDescent="0.45">
      <c r="B55" s="61">
        <v>0.09</v>
      </c>
      <c r="C55" s="61">
        <f t="shared" si="0"/>
        <v>0.91</v>
      </c>
      <c r="D55" s="62" cm="1">
        <f t="array" aca="1" ref="D55" ca="1">IF(ISNUMBER(_xll.VoseSimPercentile(TotalShared,$B55)),_xll.VoseSimPercentile(TotalShared,$B55),NA())</f>
        <v>46.304885085435146</v>
      </c>
      <c r="E55" s="62" cm="1">
        <f t="array" aca="1" ref="E55" ca="1">IF(ISNUMBER(_xll.VoseSimPercentile(TotalOwn,$B55)),_xll.VoseSimPercentile(TotalOwn,$B55),NA())</f>
        <v>48.63873662678786</v>
      </c>
      <c r="F55" s="62" cm="1">
        <f t="array" aca="1" ref="F55" ca="1">IF(ISNUMBER(_xll.VoseSimPercentile(TotalBase,$B55)),_xll.VoseSimPercentile(TotalBase,$B55),NA())</f>
        <v>47.508143869263698</v>
      </c>
      <c r="G55" s="62">
        <f t="shared" si="1"/>
        <v>55</v>
      </c>
    </row>
    <row r="56" spans="2:7" hidden="1" outlineLevel="1" x14ac:dyDescent="0.45">
      <c r="B56" s="61">
        <v>0.11</v>
      </c>
      <c r="C56" s="61">
        <f t="shared" si="0"/>
        <v>0.89</v>
      </c>
      <c r="D56" s="62" cm="1">
        <f t="array" aca="1" ref="D56" ca="1">IF(ISNUMBER(_xll.VoseSimPercentile(TotalShared,$B56)),_xll.VoseSimPercentile(TotalShared,$B56),NA())</f>
        <v>46.602993625290232</v>
      </c>
      <c r="E56" s="62" cm="1">
        <f t="array" aca="1" ref="E56" ca="1">IF(ISNUMBER(_xll.VoseSimPercentile(TotalOwn,$B56)),_xll.VoseSimPercentile(TotalOwn,$B56),NA())</f>
        <v>48.965596092893222</v>
      </c>
      <c r="F56" s="62" cm="1">
        <f t="array" aca="1" ref="F56" ca="1">IF(ISNUMBER(_xll.VoseSimPercentile(TotalBase,$B56)),_xll.VoseSimPercentile(TotalBase,$B56),NA())</f>
        <v>47.691489035498243</v>
      </c>
      <c r="G56" s="62">
        <f t="shared" si="1"/>
        <v>55</v>
      </c>
    </row>
    <row r="57" spans="2:7" hidden="1" outlineLevel="1" x14ac:dyDescent="0.45">
      <c r="B57" s="61">
        <v>0.13</v>
      </c>
      <c r="C57" s="61">
        <f t="shared" si="0"/>
        <v>0.87</v>
      </c>
      <c r="D57" s="62" cm="1">
        <f t="array" aca="1" ref="D57" ca="1">IF(ISNUMBER(_xll.VoseSimPercentile(TotalShared,$B57)),_xll.VoseSimPercentile(TotalShared,$B57),NA())</f>
        <v>46.883368856447916</v>
      </c>
      <c r="E57" s="62" cm="1">
        <f t="array" aca="1" ref="E57" ca="1">IF(ISNUMBER(_xll.VoseSimPercentile(TotalOwn,$B57)),_xll.VoseSimPercentile(TotalOwn,$B57),NA())</f>
        <v>49.231525660493588</v>
      </c>
      <c r="F57" s="62" cm="1">
        <f t="array" aca="1" ref="F57" ca="1">IF(ISNUMBER(_xll.VoseSimPercentile(TotalBase,$B57)),_xll.VoseSimPercentile(TotalBase,$B57),NA())</f>
        <v>47.851388855017156</v>
      </c>
      <c r="G57" s="62">
        <f t="shared" si="1"/>
        <v>55</v>
      </c>
    </row>
    <row r="58" spans="2:7" hidden="1" outlineLevel="1" x14ac:dyDescent="0.45">
      <c r="B58" s="61">
        <v>0.15</v>
      </c>
      <c r="C58" s="61">
        <f t="shared" si="0"/>
        <v>0.85</v>
      </c>
      <c r="D58" s="62" cm="1">
        <f t="array" aca="1" ref="D58" ca="1">IF(ISNUMBER(_xll.VoseSimPercentile(TotalShared,$B58)),_xll.VoseSimPercentile(TotalShared,$B58),NA())</f>
        <v>47.145749894688151</v>
      </c>
      <c r="E58" s="62" cm="1">
        <f t="array" aca="1" ref="E58" ca="1">IF(ISNUMBER(_xll.VoseSimPercentile(TotalOwn,$B58)),_xll.VoseSimPercentile(TotalOwn,$B58),NA())</f>
        <v>49.511709160530117</v>
      </c>
      <c r="F58" s="62" cm="1">
        <f t="array" aca="1" ref="F58" ca="1">IF(ISNUMBER(_xll.VoseSimPercentile(TotalBase,$B58)),_xll.VoseSimPercentile(TotalBase,$B58),NA())</f>
        <v>48.00957482405348</v>
      </c>
      <c r="G58" s="62">
        <f t="shared" si="1"/>
        <v>55</v>
      </c>
    </row>
    <row r="59" spans="2:7" hidden="1" outlineLevel="1" x14ac:dyDescent="0.45">
      <c r="B59" s="61">
        <v>0.17</v>
      </c>
      <c r="C59" s="61">
        <f t="shared" si="0"/>
        <v>0.83</v>
      </c>
      <c r="D59" s="62" cm="1">
        <f t="array" aca="1" ref="D59" ca="1">IF(ISNUMBER(_xll.VoseSimPercentile(TotalShared,$B59)),_xll.VoseSimPercentile(TotalShared,$B59),NA())</f>
        <v>47.394457698497433</v>
      </c>
      <c r="E59" s="62" cm="1">
        <f t="array" aca="1" ref="E59" ca="1">IF(ISNUMBER(_xll.VoseSimPercentile(TotalOwn,$B59)),_xll.VoseSimPercentile(TotalOwn,$B59),NA())</f>
        <v>49.736837527103631</v>
      </c>
      <c r="F59" s="62" cm="1">
        <f t="array" aca="1" ref="F59" ca="1">IF(ISNUMBER(_xll.VoseSimPercentile(TotalBase,$B59)),_xll.VoseSimPercentile(TotalBase,$B59),NA())</f>
        <v>48.168373799795205</v>
      </c>
      <c r="G59" s="62">
        <f t="shared" si="1"/>
        <v>55</v>
      </c>
    </row>
    <row r="60" spans="2:7" hidden="1" outlineLevel="1" x14ac:dyDescent="0.45">
      <c r="B60" s="61">
        <v>0.19</v>
      </c>
      <c r="C60" s="61">
        <f t="shared" si="0"/>
        <v>0.81</v>
      </c>
      <c r="D60" s="62" cm="1">
        <f t="array" aca="1" ref="D60" ca="1">IF(ISNUMBER(_xll.VoseSimPercentile(TotalShared,$B60)),_xll.VoseSimPercentile(TotalShared,$B60),NA())</f>
        <v>47.633358907221947</v>
      </c>
      <c r="E60" s="62" cm="1">
        <f t="array" aca="1" ref="E60" ca="1">IF(ISNUMBER(_xll.VoseSimPercentile(TotalOwn,$B60)),_xll.VoseSimPercentile(TotalOwn,$B60),NA())</f>
        <v>49.945039256851679</v>
      </c>
      <c r="F60" s="62" cm="1">
        <f t="array" aca="1" ref="F60" ca="1">IF(ISNUMBER(_xll.VoseSimPercentile(TotalBase,$B60)),_xll.VoseSimPercentile(TotalBase,$B60),NA())</f>
        <v>48.310488771166746</v>
      </c>
      <c r="G60" s="62">
        <f t="shared" si="1"/>
        <v>55</v>
      </c>
    </row>
    <row r="61" spans="2:7" hidden="1" outlineLevel="1" x14ac:dyDescent="0.45">
      <c r="B61" s="61">
        <v>0.21</v>
      </c>
      <c r="C61" s="61">
        <f t="shared" si="0"/>
        <v>0.79</v>
      </c>
      <c r="D61" s="62" cm="1">
        <f t="array" aca="1" ref="D61" ca="1">IF(ISNUMBER(_xll.VoseSimPercentile(TotalShared,$B61)),_xll.VoseSimPercentile(TotalShared,$B61),NA())</f>
        <v>47.824362785891758</v>
      </c>
      <c r="E61" s="62" cm="1">
        <f t="array" aca="1" ref="E61" ca="1">IF(ISNUMBER(_xll.VoseSimPercentile(TotalOwn,$B61)),_xll.VoseSimPercentile(TotalOwn,$B61),NA())</f>
        <v>50.145967876601219</v>
      </c>
      <c r="F61" s="62" cm="1">
        <f t="array" aca="1" ref="F61" ca="1">IF(ISNUMBER(_xll.VoseSimPercentile(TotalBase,$B61)),_xll.VoseSimPercentile(TotalBase,$B61),NA())</f>
        <v>48.435359788553747</v>
      </c>
      <c r="G61" s="62">
        <f t="shared" si="1"/>
        <v>55</v>
      </c>
    </row>
    <row r="62" spans="2:7" hidden="1" outlineLevel="1" x14ac:dyDescent="0.45">
      <c r="B62" s="61">
        <v>0.23</v>
      </c>
      <c r="C62" s="61">
        <f t="shared" si="0"/>
        <v>0.77</v>
      </c>
      <c r="D62" s="62" cm="1">
        <f t="array" aca="1" ref="D62" ca="1">IF(ISNUMBER(_xll.VoseSimPercentile(TotalShared,$B62)),_xll.VoseSimPercentile(TotalShared,$B62),NA())</f>
        <v>48.056045792072311</v>
      </c>
      <c r="E62" s="62" cm="1">
        <f t="array" aca="1" ref="E62" ca="1">IF(ISNUMBER(_xll.VoseSimPercentile(TotalOwn,$B62)),_xll.VoseSimPercentile(TotalOwn,$B62),NA())</f>
        <v>50.373792169253491</v>
      </c>
      <c r="F62" s="62" cm="1">
        <f t="array" aca="1" ref="F62" ca="1">IF(ISNUMBER(_xll.VoseSimPercentile(TotalBase,$B62)),_xll.VoseSimPercentile(TotalBase,$B62),NA())</f>
        <v>48.555611132840987</v>
      </c>
      <c r="G62" s="62">
        <f t="shared" si="1"/>
        <v>55</v>
      </c>
    </row>
    <row r="63" spans="2:7" hidden="1" outlineLevel="1" x14ac:dyDescent="0.45">
      <c r="B63" s="61">
        <v>0.25</v>
      </c>
      <c r="C63" s="61">
        <f t="shared" si="0"/>
        <v>0.75</v>
      </c>
      <c r="D63" s="62" cm="1">
        <f t="array" aca="1" ref="D63" ca="1">IF(ISNUMBER(_xll.VoseSimPercentile(TotalShared,$B63)),_xll.VoseSimPercentile(TotalShared,$B63),NA())</f>
        <v>48.310488771166746</v>
      </c>
      <c r="E63" s="62" cm="1">
        <f t="array" aca="1" ref="E63" ca="1">IF(ISNUMBER(_xll.VoseSimPercentile(TotalOwn,$B63)),_xll.VoseSimPercentile(TotalOwn,$B63),NA())</f>
        <v>50.567066702485434</v>
      </c>
      <c r="F63" s="62" cm="1">
        <f t="array" aca="1" ref="F63" ca="1">IF(ISNUMBER(_xll.VoseSimPercentile(TotalBase,$B63)),_xll.VoseSimPercentile(TotalBase,$B63),NA())</f>
        <v>48.676236724088355</v>
      </c>
      <c r="G63" s="62">
        <f t="shared" si="1"/>
        <v>55</v>
      </c>
    </row>
    <row r="64" spans="2:7" hidden="1" outlineLevel="1" x14ac:dyDescent="0.45">
      <c r="B64" s="61">
        <v>0.27</v>
      </c>
      <c r="C64" s="61">
        <f t="shared" si="0"/>
        <v>0.73</v>
      </c>
      <c r="D64" s="62" cm="1">
        <f t="array" aca="1" ref="D64" ca="1">IF(ISNUMBER(_xll.VoseSimPercentile(TotalShared,$B64)),_xll.VoseSimPercentile(TotalShared,$B64),NA())</f>
        <v>48.509093690006338</v>
      </c>
      <c r="E64" s="62" cm="1">
        <f t="array" aca="1" ref="E64" ca="1">IF(ISNUMBER(_xll.VoseSimPercentile(TotalOwn,$B64)),_xll.VoseSimPercentile(TotalOwn,$B64),NA())</f>
        <v>50.771292682586193</v>
      </c>
      <c r="F64" s="62" cm="1">
        <f t="array" aca="1" ref="F64" ca="1">IF(ISNUMBER(_xll.VoseSimPercentile(TotalBase,$B64)),_xll.VoseSimPercentile(TotalBase,$B64),NA())</f>
        <v>48.79328529217895</v>
      </c>
      <c r="G64" s="62">
        <f t="shared" si="1"/>
        <v>55</v>
      </c>
    </row>
    <row r="65" spans="2:7" hidden="1" outlineLevel="1" x14ac:dyDescent="0.45">
      <c r="B65" s="61">
        <v>0.28999999999999998</v>
      </c>
      <c r="C65" s="61">
        <f t="shared" si="0"/>
        <v>0.71</v>
      </c>
      <c r="D65" s="62" cm="1">
        <f t="array" aca="1" ref="D65" ca="1">IF(ISNUMBER(_xll.VoseSimPercentile(TotalShared,$B65)),_xll.VoseSimPercentile(TotalShared,$B65),NA())</f>
        <v>48.729057795629053</v>
      </c>
      <c r="E65" s="62" cm="1">
        <f t="array" aca="1" ref="E65" ca="1">IF(ISNUMBER(_xll.VoseSimPercentile(TotalOwn,$B65)),_xll.VoseSimPercentile(TotalOwn,$B65),NA())</f>
        <v>50.941111602555722</v>
      </c>
      <c r="F65" s="62" cm="1">
        <f t="array" aca="1" ref="F65" ca="1">IF(ISNUMBER(_xll.VoseSimPercentile(TotalBase,$B65)),_xll.VoseSimPercentile(TotalBase,$B65),NA())</f>
        <v>48.911000845650165</v>
      </c>
      <c r="G65" s="62">
        <f t="shared" si="1"/>
        <v>55</v>
      </c>
    </row>
    <row r="66" spans="2:7" hidden="1" outlineLevel="1" x14ac:dyDescent="0.45">
      <c r="B66" s="61">
        <v>0.31</v>
      </c>
      <c r="C66" s="61">
        <f t="shared" si="0"/>
        <v>0.69</v>
      </c>
      <c r="D66" s="62" cm="1">
        <f t="array" aca="1" ref="D66" ca="1">IF(ISNUMBER(_xll.VoseSimPercentile(TotalShared,$B66)),_xll.VoseSimPercentile(TotalShared,$B66),NA())</f>
        <v>48.961180290041014</v>
      </c>
      <c r="E66" s="62" cm="1">
        <f t="array" aca="1" ref="E66" ca="1">IF(ISNUMBER(_xll.VoseSimPercentile(TotalOwn,$B66)),_xll.VoseSimPercentile(TotalOwn,$B66),NA())</f>
        <v>51.085268323596459</v>
      </c>
      <c r="F66" s="62" cm="1">
        <f t="array" aca="1" ref="F66" ca="1">IF(ISNUMBER(_xll.VoseSimPercentile(TotalBase,$B66)),_xll.VoseSimPercentile(TotalBase,$B66),NA())</f>
        <v>49.007543405759449</v>
      </c>
      <c r="G66" s="62">
        <f t="shared" si="1"/>
        <v>55</v>
      </c>
    </row>
    <row r="67" spans="2:7" hidden="1" outlineLevel="1" x14ac:dyDescent="0.45">
      <c r="B67" s="61">
        <v>0.33</v>
      </c>
      <c r="C67" s="61">
        <f t="shared" si="0"/>
        <v>0.66999999999999993</v>
      </c>
      <c r="D67" s="62" cm="1">
        <f t="array" aca="1" ref="D67" ca="1">IF(ISNUMBER(_xll.VoseSimPercentile(TotalShared,$B67)),_xll.VoseSimPercentile(TotalShared,$B67),NA())</f>
        <v>49.135328754822574</v>
      </c>
      <c r="E67" s="62" cm="1">
        <f t="array" aca="1" ref="E67" ca="1">IF(ISNUMBER(_xll.VoseSimPercentile(TotalOwn,$B67)),_xll.VoseSimPercentile(TotalOwn,$B67),NA())</f>
        <v>51.267344281016243</v>
      </c>
      <c r="F67" s="62" cm="1">
        <f t="array" aca="1" ref="F67" ca="1">IF(ISNUMBER(_xll.VoseSimPercentile(TotalBase,$B67)),_xll.VoseSimPercentile(TotalBase,$B67),NA())</f>
        <v>49.102818318794689</v>
      </c>
      <c r="G67" s="62">
        <f t="shared" si="1"/>
        <v>55</v>
      </c>
    </row>
    <row r="68" spans="2:7" hidden="1" outlineLevel="1" x14ac:dyDescent="0.45">
      <c r="B68" s="61">
        <v>0.35</v>
      </c>
      <c r="C68" s="61">
        <f t="shared" si="0"/>
        <v>0.65</v>
      </c>
      <c r="D68" s="62" cm="1">
        <f t="array" aca="1" ref="D68" ca="1">IF(ISNUMBER(_xll.VoseSimPercentile(TotalShared,$B68)),_xll.VoseSimPercentile(TotalShared,$B68),NA())</f>
        <v>49.348175552254538</v>
      </c>
      <c r="E68" s="62" cm="1">
        <f t="array" aca="1" ref="E68" ca="1">IF(ISNUMBER(_xll.VoseSimPercentile(TotalOwn,$B68)),_xll.VoseSimPercentile(TotalOwn,$B68),NA())</f>
        <v>51.438978035708431</v>
      </c>
      <c r="F68" s="62" cm="1">
        <f t="array" aca="1" ref="F68" ca="1">IF(ISNUMBER(_xll.VoseSimPercentile(TotalBase,$B68)),_xll.VoseSimPercentile(TotalBase,$B68),NA())</f>
        <v>49.208428254386483</v>
      </c>
      <c r="G68" s="62">
        <f t="shared" si="1"/>
        <v>55</v>
      </c>
    </row>
    <row r="69" spans="2:7" hidden="1" outlineLevel="1" x14ac:dyDescent="0.45">
      <c r="B69" s="61">
        <v>0.37</v>
      </c>
      <c r="C69" s="61">
        <f t="shared" si="0"/>
        <v>0.63</v>
      </c>
      <c r="D69" s="62" cm="1">
        <f t="array" aca="1" ref="D69" ca="1">IF(ISNUMBER(_xll.VoseSimPercentile(TotalShared,$B69)),_xll.VoseSimPercentile(TotalShared,$B69),NA())</f>
        <v>49.580751775386467</v>
      </c>
      <c r="E69" s="62" cm="1">
        <f t="array" aca="1" ref="E69" ca="1">IF(ISNUMBER(_xll.VoseSimPercentile(TotalOwn,$B69)),_xll.VoseSimPercentile(TotalOwn,$B69),NA())</f>
        <v>51.593843116516375</v>
      </c>
      <c r="F69" s="62" cm="1">
        <f t="array" aca="1" ref="F69" ca="1">IF(ISNUMBER(_xll.VoseSimPercentile(TotalBase,$B69)),_xll.VoseSimPercentile(TotalBase,$B69),NA())</f>
        <v>49.313078569296849</v>
      </c>
      <c r="G69" s="62">
        <f t="shared" si="1"/>
        <v>55</v>
      </c>
    </row>
    <row r="70" spans="2:7" hidden="1" outlineLevel="1" x14ac:dyDescent="0.45">
      <c r="B70" s="61">
        <v>0.39</v>
      </c>
      <c r="C70" s="61">
        <f t="shared" si="0"/>
        <v>0.61</v>
      </c>
      <c r="D70" s="62" cm="1">
        <f t="array" aca="1" ref="D70" ca="1">IF(ISNUMBER(_xll.VoseSimPercentile(TotalShared,$B70)),_xll.VoseSimPercentile(TotalShared,$B70),NA())</f>
        <v>49.78463847201111</v>
      </c>
      <c r="E70" s="62" cm="1">
        <f t="array" aca="1" ref="E70" ca="1">IF(ISNUMBER(_xll.VoseSimPercentile(TotalOwn,$B70)),_xll.VoseSimPercentile(TotalOwn,$B70),NA())</f>
        <v>51.748237649234611</v>
      </c>
      <c r="F70" s="62" cm="1">
        <f t="array" aca="1" ref="F70" ca="1">IF(ISNUMBER(_xll.VoseSimPercentile(TotalBase,$B70)),_xll.VoseSimPercentile(TotalBase,$B70),NA())</f>
        <v>49.417198254269323</v>
      </c>
      <c r="G70" s="62">
        <f t="shared" si="1"/>
        <v>55</v>
      </c>
    </row>
    <row r="71" spans="2:7" hidden="1" outlineLevel="1" x14ac:dyDescent="0.45">
      <c r="B71" s="61">
        <v>0.41</v>
      </c>
      <c r="C71" s="61">
        <f t="shared" si="0"/>
        <v>0.59000000000000008</v>
      </c>
      <c r="D71" s="62" cm="1">
        <f t="array" aca="1" ref="D71" ca="1">IF(ISNUMBER(_xll.VoseSimPercentile(TotalShared,$B71)),_xll.VoseSimPercentile(TotalShared,$B71),NA())</f>
        <v>50.021871085033695</v>
      </c>
      <c r="E71" s="62" cm="1">
        <f t="array" aca="1" ref="E71" ca="1">IF(ISNUMBER(_xll.VoseSimPercentile(TotalOwn,$B71)),_xll.VoseSimPercentile(TotalOwn,$B71),NA())</f>
        <v>51.908685268330764</v>
      </c>
      <c r="F71" s="62" cm="1">
        <f t="array" aca="1" ref="F71" ca="1">IF(ISNUMBER(_xll.VoseSimPercentile(TotalBase,$B71)),_xll.VoseSimPercentile(TotalBase,$B71),NA())</f>
        <v>49.521848636830427</v>
      </c>
      <c r="G71" s="62">
        <f t="shared" si="1"/>
        <v>55</v>
      </c>
    </row>
    <row r="72" spans="2:7" hidden="1" outlineLevel="1" x14ac:dyDescent="0.45">
      <c r="B72" s="61">
        <v>0.43</v>
      </c>
      <c r="C72" s="61">
        <f t="shared" si="0"/>
        <v>0.57000000000000006</v>
      </c>
      <c r="D72" s="62" cm="1">
        <f t="array" aca="1" ref="D72" ca="1">IF(ISNUMBER(_xll.VoseSimPercentile(TotalShared,$B72)),_xll.VoseSimPercentile(TotalShared,$B72),NA())</f>
        <v>50.28717528495411</v>
      </c>
      <c r="E72" s="62" cm="1">
        <f t="array" aca="1" ref="E72" ca="1">IF(ISNUMBER(_xll.VoseSimPercentile(TotalOwn,$B72)),_xll.VoseSimPercentile(TotalOwn,$B72),NA())</f>
        <v>52.065800822611884</v>
      </c>
      <c r="F72" s="62" cm="1">
        <f t="array" aca="1" ref="F72" ca="1">IF(ISNUMBER(_xll.VoseSimPercentile(TotalBase,$B72)),_xll.VoseSimPercentile(TotalBase,$B72),NA())</f>
        <v>49.625696814210272</v>
      </c>
      <c r="G72" s="62">
        <f t="shared" si="1"/>
        <v>55</v>
      </c>
    </row>
    <row r="73" spans="2:7" hidden="1" outlineLevel="1" x14ac:dyDescent="0.45">
      <c r="B73" s="61">
        <v>0.45</v>
      </c>
      <c r="C73" s="61">
        <f t="shared" si="0"/>
        <v>0.55000000000000004</v>
      </c>
      <c r="D73" s="62" cm="1">
        <f t="array" aca="1" ref="D73" ca="1">IF(ISNUMBER(_xll.VoseSimPercentile(TotalShared,$B73)),_xll.VoseSimPercentile(TotalShared,$B73),NA())</f>
        <v>50.532098789335862</v>
      </c>
      <c r="E73" s="62" cm="1">
        <f t="array" aca="1" ref="E73" ca="1">IF(ISNUMBER(_xll.VoseSimPercentile(TotalOwn,$B73)),_xll.VoseSimPercentile(TotalOwn,$B73),NA())</f>
        <v>52.22760059301509</v>
      </c>
      <c r="F73" s="62" cm="1">
        <f t="array" aca="1" ref="F73" ca="1">IF(ISNUMBER(_xll.VoseSimPercentile(TotalBase,$B73)),_xll.VoseSimPercentile(TotalBase,$B73),NA())</f>
        <v>49.717332369990785</v>
      </c>
      <c r="G73" s="62">
        <f t="shared" si="1"/>
        <v>55</v>
      </c>
    </row>
    <row r="74" spans="2:7" hidden="1" outlineLevel="1" x14ac:dyDescent="0.45">
      <c r="B74" s="61">
        <v>0.47</v>
      </c>
      <c r="C74" s="61">
        <f t="shared" si="0"/>
        <v>0.53</v>
      </c>
      <c r="D74" s="62" cm="1">
        <f t="array" aca="1" ref="D74" ca="1">IF(ISNUMBER(_xll.VoseSimPercentile(TotalShared,$B74)),_xll.VoseSimPercentile(TotalShared,$B74),NA())</f>
        <v>50.829268809147536</v>
      </c>
      <c r="E74" s="62" cm="1">
        <f t="array" aca="1" ref="E74" ca="1">IF(ISNUMBER(_xll.VoseSimPercentile(TotalOwn,$B74)),_xll.VoseSimPercentile(TotalOwn,$B74),NA())</f>
        <v>52.384327370563319</v>
      </c>
      <c r="F74" s="62" cm="1">
        <f t="array" aca="1" ref="F74" ca="1">IF(ISNUMBER(_xll.VoseSimPercentile(TotalBase,$B74)),_xll.VoseSimPercentile(TotalBase,$B74),NA())</f>
        <v>49.815125460493661</v>
      </c>
      <c r="G74" s="62">
        <f t="shared" si="1"/>
        <v>55</v>
      </c>
    </row>
    <row r="75" spans="2:7" hidden="1" outlineLevel="1" x14ac:dyDescent="0.45">
      <c r="B75" s="61">
        <v>0.49</v>
      </c>
      <c r="C75" s="61">
        <f t="shared" si="0"/>
        <v>0.51</v>
      </c>
      <c r="D75" s="62" cm="1">
        <f t="array" aca="1" ref="D75" ca="1">IF(ISNUMBER(_xll.VoseSimPercentile(TotalShared,$B75)),_xll.VoseSimPercentile(TotalShared,$B75),NA())</f>
        <v>51.126671556973896</v>
      </c>
      <c r="E75" s="62" cm="1">
        <f t="array" aca="1" ref="E75" ca="1">IF(ISNUMBER(_xll.VoseSimPercentile(TotalOwn,$B75)),_xll.VoseSimPercentile(TotalOwn,$B75),NA())</f>
        <v>52.552833627818494</v>
      </c>
      <c r="F75" s="62" cm="1">
        <f t="array" aca="1" ref="F75" ca="1">IF(ISNUMBER(_xll.VoseSimPercentile(TotalBase,$B75)),_xll.VoseSimPercentile(TotalBase,$B75),NA())</f>
        <v>49.912632607727915</v>
      </c>
      <c r="G75" s="62">
        <f t="shared" si="1"/>
        <v>55</v>
      </c>
    </row>
    <row r="76" spans="2:7" hidden="1" outlineLevel="1" x14ac:dyDescent="0.45">
      <c r="B76" s="61">
        <v>0.51</v>
      </c>
      <c r="C76" s="61">
        <f t="shared" si="0"/>
        <v>0.49</v>
      </c>
      <c r="D76" s="62" cm="1">
        <f t="array" aca="1" ref="D76" ca="1">IF(ISNUMBER(_xll.VoseSimPercentile(TotalShared,$B76)),_xll.VoseSimPercentile(TotalShared,$B76),NA())</f>
        <v>51.555091783401153</v>
      </c>
      <c r="E76" s="62" cm="1">
        <f t="array" aca="1" ref="E76" ca="1">IF(ISNUMBER(_xll.VoseSimPercentile(TotalOwn,$B76)),_xll.VoseSimPercentile(TotalOwn,$B76),NA())</f>
        <v>52.692165036465965</v>
      </c>
      <c r="F76" s="62" cm="1">
        <f t="array" aca="1" ref="F76" ca="1">IF(ISNUMBER(_xll.VoseSimPercentile(TotalBase,$B76)),_xll.VoseSimPercentile(TotalBase,$B76),NA())</f>
        <v>50.00754693960311</v>
      </c>
      <c r="G76" s="62">
        <f t="shared" si="1"/>
        <v>55</v>
      </c>
    </row>
    <row r="77" spans="2:7" hidden="1" outlineLevel="1" x14ac:dyDescent="0.45">
      <c r="B77" s="61">
        <v>0.53</v>
      </c>
      <c r="C77" s="61">
        <f t="shared" si="0"/>
        <v>0.47</v>
      </c>
      <c r="D77" s="62" cm="1">
        <f t="array" aca="1" ref="D77" ca="1">IF(ISNUMBER(_xll.VoseSimPercentile(TotalShared,$B77)),_xll.VoseSimPercentile(TotalShared,$B77),NA())</f>
        <v>52.078002262584988</v>
      </c>
      <c r="E77" s="62" cm="1">
        <f t="array" aca="1" ref="E77" ca="1">IF(ISNUMBER(_xll.VoseSimPercentile(TotalOwn,$B77)),_xll.VoseSimPercentile(TotalOwn,$B77),NA())</f>
        <v>52.835595563370845</v>
      </c>
      <c r="F77" s="62" cm="1">
        <f t="array" aca="1" ref="F77" ca="1">IF(ISNUMBER(_xll.VoseSimPercentile(TotalBase,$B77)),_xll.VoseSimPercentile(TotalBase,$B77),NA())</f>
        <v>50.112036329238904</v>
      </c>
      <c r="G77" s="62">
        <f t="shared" si="1"/>
        <v>55</v>
      </c>
    </row>
    <row r="78" spans="2:7" hidden="1" outlineLevel="1" x14ac:dyDescent="0.45">
      <c r="B78" s="61">
        <v>0.55000000000000004</v>
      </c>
      <c r="C78" s="61">
        <f t="shared" si="0"/>
        <v>0.44999999999999996</v>
      </c>
      <c r="D78" s="62" cm="1">
        <f t="array" aca="1" ref="D78" ca="1">IF(ISNUMBER(_xll.VoseSimPercentile(TotalShared,$B78)),_xll.VoseSimPercentile(TotalShared,$B78),NA())</f>
        <v>52.734881490672485</v>
      </c>
      <c r="E78" s="62" cm="1">
        <f t="array" aca="1" ref="E78" ca="1">IF(ISNUMBER(_xll.VoseSimPercentile(TotalOwn,$B78)),_xll.VoseSimPercentile(TotalOwn,$B78),NA())</f>
        <v>52.996378272616973</v>
      </c>
      <c r="F78" s="62" cm="1">
        <f t="array" aca="1" ref="F78" ca="1">IF(ISNUMBER(_xll.VoseSimPercentile(TotalBase,$B78)),_xll.VoseSimPercentile(TotalBase,$B78),NA())</f>
        <v>50.216588687545617</v>
      </c>
      <c r="G78" s="62">
        <f t="shared" si="1"/>
        <v>55</v>
      </c>
    </row>
    <row r="79" spans="2:7" hidden="1" outlineLevel="1" x14ac:dyDescent="0.45">
      <c r="B79" s="61">
        <v>0.56999999999999995</v>
      </c>
      <c r="C79" s="61">
        <f t="shared" si="0"/>
        <v>0.43000000000000005</v>
      </c>
      <c r="D79" s="62" cm="1">
        <f t="array" aca="1" ref="D79" ca="1">IF(ISNUMBER(_xll.VoseSimPercentile(TotalShared,$B79)),_xll.VoseSimPercentile(TotalShared,$B79),NA())</f>
        <v>53.355259089302841</v>
      </c>
      <c r="E79" s="62" cm="1">
        <f t="array" aca="1" ref="E79" ca="1">IF(ISNUMBER(_xll.VoseSimPercentile(TotalOwn,$B79)),_xll.VoseSimPercentile(TotalOwn,$B79),NA())</f>
        <v>53.153589786772685</v>
      </c>
      <c r="F79" s="62" cm="1">
        <f t="array" aca="1" ref="F79" ca="1">IF(ISNUMBER(_xll.VoseSimPercentile(TotalBase,$B79)),_xll.VoseSimPercentile(TotalBase,$B79),NA())</f>
        <v>50.3163438045992</v>
      </c>
      <c r="G79" s="62">
        <f t="shared" si="1"/>
        <v>55</v>
      </c>
    </row>
    <row r="80" spans="2:7" hidden="1" outlineLevel="1" x14ac:dyDescent="0.45">
      <c r="B80" s="61">
        <v>0.59</v>
      </c>
      <c r="C80" s="61">
        <f t="shared" si="0"/>
        <v>0.41000000000000003</v>
      </c>
      <c r="D80" s="62" cm="1">
        <f t="array" aca="1" ref="D80" ca="1">IF(ISNUMBER(_xll.VoseSimPercentile(TotalShared,$B80)),_xll.VoseSimPercentile(TotalShared,$B80),NA())</f>
        <v>53.973423522843156</v>
      </c>
      <c r="E80" s="62" cm="1">
        <f t="array" aca="1" ref="E80" ca="1">IF(ISNUMBER(_xll.VoseSimPercentile(TotalOwn,$B80)),_xll.VoseSimPercentile(TotalOwn,$B80),NA())</f>
        <v>53.308595056080875</v>
      </c>
      <c r="F80" s="62" cm="1">
        <f t="array" aca="1" ref="F80" ca="1">IF(ISNUMBER(_xll.VoseSimPercentile(TotalBase,$B80)),_xll.VoseSimPercentile(TotalBase,$B80),NA())</f>
        <v>50.40607018505996</v>
      </c>
      <c r="G80" s="62">
        <f t="shared" si="1"/>
        <v>55</v>
      </c>
    </row>
    <row r="81" spans="2:7" hidden="1" outlineLevel="1" x14ac:dyDescent="0.45">
      <c r="B81" s="61">
        <v>0.61</v>
      </c>
      <c r="C81" s="61">
        <f t="shared" si="0"/>
        <v>0.39</v>
      </c>
      <c r="D81" s="62" cm="1">
        <f t="array" aca="1" ref="D81" ca="1">IF(ISNUMBER(_xll.VoseSimPercentile(TotalShared,$B81)),_xll.VoseSimPercentile(TotalShared,$B81),NA())</f>
        <v>54.449112647913594</v>
      </c>
      <c r="E81" s="62" cm="1">
        <f t="array" aca="1" ref="E81" ca="1">IF(ISNUMBER(_xll.VoseSimPercentile(TotalOwn,$B81)),_xll.VoseSimPercentile(TotalOwn,$B81),NA())</f>
        <v>53.457036375955326</v>
      </c>
      <c r="F81" s="62" cm="1">
        <f t="array" aca="1" ref="F81" ca="1">IF(ISNUMBER(_xll.VoseSimPercentile(TotalBase,$B81)),_xll.VoseSimPercentile(TotalBase,$B81),NA())</f>
        <v>50.498621037328007</v>
      </c>
      <c r="G81" s="62">
        <f t="shared" si="1"/>
        <v>55</v>
      </c>
    </row>
    <row r="82" spans="2:7" hidden="1" outlineLevel="1" x14ac:dyDescent="0.45">
      <c r="B82" s="61">
        <v>0.63</v>
      </c>
      <c r="C82" s="61">
        <f t="shared" si="0"/>
        <v>0.37</v>
      </c>
      <c r="D82" s="62" cm="1">
        <f t="array" aca="1" ref="D82" ca="1">IF(ISNUMBER(_xll.VoseSimPercentile(TotalShared,$B82)),_xll.VoseSimPercentile(TotalShared,$B82),NA())</f>
        <v>54.917642588714195</v>
      </c>
      <c r="E82" s="62" cm="1">
        <f t="array" aca="1" ref="E82" ca="1">IF(ISNUMBER(_xll.VoseSimPercentile(TotalOwn,$B82)),_xll.VoseSimPercentile(TotalOwn,$B82),NA())</f>
        <v>53.651627635538155</v>
      </c>
      <c r="F82" s="62" cm="1">
        <f t="array" aca="1" ref="F82" ca="1">IF(ISNUMBER(_xll.VoseSimPercentile(TotalBase,$B82)),_xll.VoseSimPercentile(TotalBase,$B82),NA())</f>
        <v>50.586968221042255</v>
      </c>
      <c r="G82" s="62">
        <f t="shared" si="1"/>
        <v>55</v>
      </c>
    </row>
    <row r="83" spans="2:7" hidden="1" outlineLevel="1" x14ac:dyDescent="0.45">
      <c r="B83" s="61">
        <v>0.65</v>
      </c>
      <c r="C83" s="61">
        <f t="shared" ref="C83:C114" si="2">1-B83</f>
        <v>0.35</v>
      </c>
      <c r="D83" s="62" cm="1">
        <f t="array" aca="1" ref="D83" ca="1">IF(ISNUMBER(_xll.VoseSimPercentile(TotalShared,$B83)),_xll.VoseSimPercentile(TotalShared,$B83),NA())</f>
        <v>55.275459429895591</v>
      </c>
      <c r="E83" s="62" cm="1">
        <f t="array" aca="1" ref="E83" ca="1">IF(ISNUMBER(_xll.VoseSimPercentile(TotalOwn,$B83)),_xll.VoseSimPercentile(TotalOwn,$B83),NA())</f>
        <v>53.826095875260066</v>
      </c>
      <c r="F83" s="62" cm="1">
        <f t="array" aca="1" ref="F83" ca="1">IF(ISNUMBER(_xll.VoseSimPercentile(TotalBase,$B83)),_xll.VoseSimPercentile(TotalBase,$B83),NA())</f>
        <v>50.69371350933406</v>
      </c>
      <c r="G83" s="62">
        <f t="shared" ref="G83:G100" si="3">Deadline</f>
        <v>55</v>
      </c>
    </row>
    <row r="84" spans="2:7" hidden="1" outlineLevel="1" x14ac:dyDescent="0.45">
      <c r="B84" s="61">
        <v>0.67</v>
      </c>
      <c r="C84" s="61">
        <f t="shared" si="2"/>
        <v>0.32999999999999996</v>
      </c>
      <c r="D84" s="62" cm="1">
        <f t="array" aca="1" ref="D84" ca="1">IF(ISNUMBER(_xll.VoseSimPercentile(TotalShared,$B84)),_xll.VoseSimPercentile(TotalShared,$B84),NA())</f>
        <v>55.626793106564755</v>
      </c>
      <c r="E84" s="62" cm="1">
        <f t="array" aca="1" ref="E84" ca="1">IF(ISNUMBER(_xll.VoseSimPercentile(TotalOwn,$B84)),_xll.VoseSimPercentile(TotalOwn,$B84),NA())</f>
        <v>54.00534187715698</v>
      </c>
      <c r="F84" s="62" cm="1">
        <f t="array" aca="1" ref="F84" ca="1">IF(ISNUMBER(_xll.VoseSimPercentile(TotalBase,$B84)),_xll.VoseSimPercentile(TotalBase,$B84),NA())</f>
        <v>50.798006111863842</v>
      </c>
      <c r="G84" s="62">
        <f t="shared" si="3"/>
        <v>55</v>
      </c>
    </row>
    <row r="85" spans="2:7" hidden="1" outlineLevel="1" x14ac:dyDescent="0.45">
      <c r="B85" s="61">
        <v>0.69</v>
      </c>
      <c r="C85" s="61">
        <f t="shared" si="2"/>
        <v>0.31000000000000005</v>
      </c>
      <c r="D85" s="62" cm="1">
        <f t="array" aca="1" ref="D85" ca="1">IF(ISNUMBER(_xll.VoseSimPercentile(TotalShared,$B85)),_xll.VoseSimPercentile(TotalShared,$B85),NA())</f>
        <v>55.980540979823481</v>
      </c>
      <c r="E85" s="62" cm="1">
        <f t="array" aca="1" ref="E85" ca="1">IF(ISNUMBER(_xll.VoseSimPercentile(TotalOwn,$B85)),_xll.VoseSimPercentile(TotalOwn,$B85),NA())</f>
        <v>54.214069567912752</v>
      </c>
      <c r="F85" s="62" cm="1">
        <f t="array" aca="1" ref="F85" ca="1">IF(ISNUMBER(_xll.VoseSimPercentile(TotalBase,$B85)),_xll.VoseSimPercentile(TotalBase,$B85),NA())</f>
        <v>50.908536842910991</v>
      </c>
      <c r="G85" s="62">
        <f t="shared" si="3"/>
        <v>55</v>
      </c>
    </row>
    <row r="86" spans="2:7" hidden="1" outlineLevel="1" x14ac:dyDescent="0.45">
      <c r="B86" s="61">
        <v>0.71</v>
      </c>
      <c r="C86" s="61">
        <f t="shared" si="2"/>
        <v>0.29000000000000004</v>
      </c>
      <c r="D86" s="62" cm="1">
        <f t="array" aca="1" ref="D86" ca="1">IF(ISNUMBER(_xll.VoseSimPercentile(TotalShared,$B86)),_xll.VoseSimPercentile(TotalShared,$B86),NA())</f>
        <v>56.346433341274256</v>
      </c>
      <c r="E86" s="62" cm="1">
        <f t="array" aca="1" ref="E86" ca="1">IF(ISNUMBER(_xll.VoseSimPercentile(TotalOwn,$B86)),_xll.VoseSimPercentile(TotalOwn,$B86),NA())</f>
        <v>54.381373702105449</v>
      </c>
      <c r="F86" s="62" cm="1">
        <f t="array" aca="1" ref="F86" ca="1">IF(ISNUMBER(_xll.VoseSimPercentile(TotalBase,$B86)),_xll.VoseSimPercentile(TotalBase,$B86),NA())</f>
        <v>51.028124090240993</v>
      </c>
      <c r="G86" s="62">
        <f t="shared" si="3"/>
        <v>55</v>
      </c>
    </row>
    <row r="87" spans="2:7" hidden="1" outlineLevel="1" x14ac:dyDescent="0.45">
      <c r="B87" s="61">
        <v>0.73</v>
      </c>
      <c r="C87" s="61">
        <f t="shared" si="2"/>
        <v>0.27</v>
      </c>
      <c r="D87" s="62" cm="1">
        <f t="array" aca="1" ref="D87" ca="1">IF(ISNUMBER(_xll.VoseSimPercentile(TotalShared,$B87)),_xll.VoseSimPercentile(TotalShared,$B87),NA())</f>
        <v>56.708648189213761</v>
      </c>
      <c r="E87" s="62" cm="1">
        <f t="array" aca="1" ref="E87" ca="1">IF(ISNUMBER(_xll.VoseSimPercentile(TotalOwn,$B87)),_xll.VoseSimPercentile(TotalOwn,$B87),NA())</f>
        <v>54.573221908402147</v>
      </c>
      <c r="F87" s="62" cm="1">
        <f t="array" aca="1" ref="F87" ca="1">IF(ISNUMBER(_xll.VoseSimPercentile(TotalBase,$B87)),_xll.VoseSimPercentile(TotalBase,$B87),NA())</f>
        <v>51.133951340274905</v>
      </c>
      <c r="G87" s="62">
        <f t="shared" si="3"/>
        <v>55</v>
      </c>
    </row>
    <row r="88" spans="2:7" hidden="1" outlineLevel="1" x14ac:dyDescent="0.45">
      <c r="B88" s="61">
        <v>0.75</v>
      </c>
      <c r="C88" s="61">
        <f t="shared" si="2"/>
        <v>0.25</v>
      </c>
      <c r="D88" s="62" cm="1">
        <f t="array" aca="1" ref="D88" ca="1">IF(ISNUMBER(_xll.VoseSimPercentile(TotalShared,$B88)),_xll.VoseSimPercentile(TotalShared,$B88),NA())</f>
        <v>57.081377500159583</v>
      </c>
      <c r="E88" s="62" cm="1">
        <f t="array" aca="1" ref="E88" ca="1">IF(ISNUMBER(_xll.VoseSimPercentile(TotalOwn,$B88)),_xll.VoseSimPercentile(TotalOwn,$B88),NA())</f>
        <v>54.774575325172997</v>
      </c>
      <c r="F88" s="62" cm="1">
        <f t="array" aca="1" ref="F88" ca="1">IF(ISNUMBER(_xll.VoseSimPercentile(TotalBase,$B88)),_xll.VoseSimPercentile(TotalBase,$B88),NA())</f>
        <v>51.261331864036045</v>
      </c>
      <c r="G88" s="62">
        <f t="shared" si="3"/>
        <v>55</v>
      </c>
    </row>
    <row r="89" spans="2:7" hidden="1" outlineLevel="1" x14ac:dyDescent="0.45">
      <c r="B89" s="61">
        <v>0.77</v>
      </c>
      <c r="C89" s="61">
        <f t="shared" si="2"/>
        <v>0.22999999999999998</v>
      </c>
      <c r="D89" s="62" cm="1">
        <f t="array" aca="1" ref="D89" ca="1">IF(ISNUMBER(_xll.VoseSimPercentile(TotalShared,$B89)),_xll.VoseSimPercentile(TotalShared,$B89),NA())</f>
        <v>57.392650067780579</v>
      </c>
      <c r="E89" s="62" cm="1">
        <f t="array" aca="1" ref="E89" ca="1">IF(ISNUMBER(_xll.VoseSimPercentile(TotalOwn,$B89)),_xll.VoseSimPercentile(TotalOwn,$B89),NA())</f>
        <v>55.005373654367951</v>
      </c>
      <c r="F89" s="62" cm="1">
        <f t="array" aca="1" ref="F89" ca="1">IF(ISNUMBER(_xll.VoseSimPercentile(TotalBase,$B89)),_xll.VoseSimPercentile(TotalBase,$B89),NA())</f>
        <v>51.390585867851414</v>
      </c>
      <c r="G89" s="62">
        <f t="shared" si="3"/>
        <v>55</v>
      </c>
    </row>
    <row r="90" spans="2:7" hidden="1" outlineLevel="1" x14ac:dyDescent="0.45">
      <c r="B90" s="61">
        <v>0.79</v>
      </c>
      <c r="C90" s="61">
        <f t="shared" si="2"/>
        <v>0.20999999999999996</v>
      </c>
      <c r="D90" s="62" cm="1">
        <f t="array" aca="1" ref="D90" ca="1">IF(ISNUMBER(_xll.VoseSimPercentile(TotalShared,$B90)),_xll.VoseSimPercentile(TotalShared,$B90),NA())</f>
        <v>57.728735283638215</v>
      </c>
      <c r="E90" s="62" cm="1">
        <f t="array" aca="1" ref="E90" ca="1">IF(ISNUMBER(_xll.VoseSimPercentile(TotalOwn,$B90)),_xll.VoseSimPercentile(TotalOwn,$B90),NA())</f>
        <v>55.205366117184859</v>
      </c>
      <c r="F90" s="62" cm="1">
        <f t="array" aca="1" ref="F90" ca="1">IF(ISNUMBER(_xll.VoseSimPercentile(TotalBase,$B90)),_xll.VoseSimPercentile(TotalBase,$B90),NA())</f>
        <v>51.52399760902825</v>
      </c>
      <c r="G90" s="62">
        <f t="shared" si="3"/>
        <v>55</v>
      </c>
    </row>
    <row r="91" spans="2:7" hidden="1" outlineLevel="1" x14ac:dyDescent="0.45">
      <c r="B91" s="61">
        <v>0.81</v>
      </c>
      <c r="C91" s="61">
        <f t="shared" si="2"/>
        <v>0.18999999999999995</v>
      </c>
      <c r="D91" s="62" cm="1">
        <f t="array" aca="1" ref="D91" ca="1">IF(ISNUMBER(_xll.VoseSimPercentile(TotalShared,$B91)),_xll.VoseSimPercentile(TotalShared,$B91),NA())</f>
        <v>58.130825959805463</v>
      </c>
      <c r="E91" s="62" cm="1">
        <f t="array" aca="1" ref="E91" ca="1">IF(ISNUMBER(_xll.VoseSimPercentile(TotalOwn,$B91)),_xll.VoseSimPercentile(TotalOwn,$B91),NA())</f>
        <v>55.435530169400025</v>
      </c>
      <c r="F91" s="62" cm="1">
        <f t="array" aca="1" ref="F91" ca="1">IF(ISNUMBER(_xll.VoseSimPercentile(TotalBase,$B91)),_xll.VoseSimPercentile(TotalBase,$B91),NA())</f>
        <v>51.667990076958716</v>
      </c>
      <c r="G91" s="62">
        <f t="shared" si="3"/>
        <v>55</v>
      </c>
    </row>
    <row r="92" spans="2:7" hidden="1" outlineLevel="1" x14ac:dyDescent="0.45">
      <c r="B92" s="61">
        <v>0.83</v>
      </c>
      <c r="C92" s="61">
        <f t="shared" si="2"/>
        <v>0.17000000000000004</v>
      </c>
      <c r="D92" s="62" cm="1">
        <f t="array" aca="1" ref="D92" ca="1">IF(ISNUMBER(_xll.VoseSimPercentile(TotalShared,$B92)),_xll.VoseSimPercentile(TotalShared,$B92),NA())</f>
        <v>58.571902000254383</v>
      </c>
      <c r="E92" s="62" cm="1">
        <f t="array" aca="1" ref="E92" ca="1">IF(ISNUMBER(_xll.VoseSimPercentile(TotalOwn,$B92)),_xll.VoseSimPercentile(TotalOwn,$B92),NA())</f>
        <v>55.691063739066848</v>
      </c>
      <c r="F92" s="62" cm="1">
        <f t="array" aca="1" ref="F92" ca="1">IF(ISNUMBER(_xll.VoseSimPercentile(TotalBase,$B92)),_xll.VoseSimPercentile(TotalBase,$B92),NA())</f>
        <v>51.827569340484018</v>
      </c>
      <c r="G92" s="62">
        <f t="shared" si="3"/>
        <v>55</v>
      </c>
    </row>
    <row r="93" spans="2:7" hidden="1" outlineLevel="1" x14ac:dyDescent="0.45">
      <c r="B93" s="61">
        <v>0.85</v>
      </c>
      <c r="C93" s="61">
        <f t="shared" si="2"/>
        <v>0.15000000000000002</v>
      </c>
      <c r="D93" s="62" cm="1">
        <f t="array" aca="1" ref="D93" ca="1">IF(ISNUMBER(_xll.VoseSimPercentile(TotalShared,$B93)),_xll.VoseSimPercentile(TotalShared,$B93),NA())</f>
        <v>59.005781396018676</v>
      </c>
      <c r="E93" s="62" cm="1">
        <f t="array" aca="1" ref="E93" ca="1">IF(ISNUMBER(_xll.VoseSimPercentile(TotalOwn,$B93)),_xll.VoseSimPercentile(TotalOwn,$B93),NA())</f>
        <v>55.979958951885322</v>
      </c>
      <c r="F93" s="62" cm="1">
        <f t="array" aca="1" ref="F93" ca="1">IF(ISNUMBER(_xll.VoseSimPercentile(TotalBase,$B93)),_xll.VoseSimPercentile(TotalBase,$B93),NA())</f>
        <v>52.006407568509999</v>
      </c>
      <c r="G93" s="62">
        <f t="shared" si="3"/>
        <v>55</v>
      </c>
    </row>
    <row r="94" spans="2:7" hidden="1" outlineLevel="1" x14ac:dyDescent="0.45">
      <c r="B94" s="61">
        <v>0.87</v>
      </c>
      <c r="C94" s="61">
        <f t="shared" si="2"/>
        <v>0.13</v>
      </c>
      <c r="D94" s="62" cm="1">
        <f t="array" aca="1" ref="D94" ca="1">IF(ISNUMBER(_xll.VoseSimPercentile(TotalShared,$B94)),_xll.VoseSimPercentile(TotalShared,$B94),NA())</f>
        <v>59.467647969335658</v>
      </c>
      <c r="E94" s="62" cm="1">
        <f t="array" aca="1" ref="E94" ca="1">IF(ISNUMBER(_xll.VoseSimPercentile(TotalOwn,$B94)),_xll.VoseSimPercentile(TotalOwn,$B94),NA())</f>
        <v>56.270250265389691</v>
      </c>
      <c r="F94" s="62" cm="1">
        <f t="array" aca="1" ref="F94" ca="1">IF(ISNUMBER(_xll.VoseSimPercentile(TotalBase,$B94)),_xll.VoseSimPercentile(TotalBase,$B94),NA())</f>
        <v>52.176671263824574</v>
      </c>
      <c r="G94" s="62">
        <f t="shared" si="3"/>
        <v>55</v>
      </c>
    </row>
    <row r="95" spans="2:7" hidden="1" outlineLevel="1" x14ac:dyDescent="0.45">
      <c r="B95" s="61">
        <v>0.89</v>
      </c>
      <c r="C95" s="61">
        <f t="shared" si="2"/>
        <v>0.10999999999999999</v>
      </c>
      <c r="D95" s="62" cm="1">
        <f t="array" aca="1" ref="D95" ca="1">IF(ISNUMBER(_xll.VoseSimPercentile(TotalShared,$B95)),_xll.VoseSimPercentile(TotalShared,$B95),NA())</f>
        <v>60.012987019820024</v>
      </c>
      <c r="E95" s="62" cm="1">
        <f t="array" aca="1" ref="E95" ca="1">IF(ISNUMBER(_xll.VoseSimPercentile(TotalOwn,$B95)),_xll.VoseSimPercentile(TotalOwn,$B95),NA())</f>
        <v>56.602452290926692</v>
      </c>
      <c r="F95" s="62" cm="1">
        <f t="array" aca="1" ref="F95" ca="1">IF(ISNUMBER(_xll.VoseSimPercentile(TotalBase,$B95)),_xll.VoseSimPercentile(TotalBase,$B95),NA())</f>
        <v>52.383211888095907</v>
      </c>
      <c r="G95" s="62">
        <f t="shared" si="3"/>
        <v>55</v>
      </c>
    </row>
    <row r="96" spans="2:7" hidden="1" outlineLevel="1" x14ac:dyDescent="0.45">
      <c r="B96" s="61">
        <v>0.91</v>
      </c>
      <c r="C96" s="61">
        <f t="shared" si="2"/>
        <v>8.9999999999999969E-2</v>
      </c>
      <c r="D96" s="62" cm="1">
        <f t="array" aca="1" ref="D96" ca="1">IF(ISNUMBER(_xll.VoseSimPercentile(TotalShared,$B96)),_xll.VoseSimPercentile(TotalShared,$B96),NA())</f>
        <v>60.642305807576435</v>
      </c>
      <c r="E96" s="62" cm="1">
        <f t="array" aca="1" ref="E96" ca="1">IF(ISNUMBER(_xll.VoseSimPercentile(TotalOwn,$B96)),_xll.VoseSimPercentile(TotalOwn,$B96),NA())</f>
        <v>56.995162069175166</v>
      </c>
      <c r="F96" s="62" cm="1">
        <f t="array" aca="1" ref="F96" ca="1">IF(ISNUMBER(_xll.VoseSimPercentile(TotalBase,$B96)),_xll.VoseSimPercentile(TotalBase,$B96),NA())</f>
        <v>52.623011978700909</v>
      </c>
      <c r="G96" s="62">
        <f t="shared" si="3"/>
        <v>55</v>
      </c>
    </row>
    <row r="97" spans="2:7" hidden="1" outlineLevel="1" x14ac:dyDescent="0.45">
      <c r="B97" s="61">
        <v>0.93</v>
      </c>
      <c r="C97" s="61">
        <f t="shared" si="2"/>
        <v>6.9999999999999951E-2</v>
      </c>
      <c r="D97" s="62" cm="1">
        <f t="array" aca="1" ref="D97" ca="1">IF(ISNUMBER(_xll.VoseSimPercentile(TotalShared,$B97)),_xll.VoseSimPercentile(TotalShared,$B97),NA())</f>
        <v>61.355181602142515</v>
      </c>
      <c r="E97" s="62" cm="1">
        <f t="array" aca="1" ref="E97" ca="1">IF(ISNUMBER(_xll.VoseSimPercentile(TotalOwn,$B97)),_xll.VoseSimPercentile(TotalOwn,$B97),NA())</f>
        <v>57.462661897707619</v>
      </c>
      <c r="F97" s="62" cm="1">
        <f t="array" aca="1" ref="F97" ca="1">IF(ISNUMBER(_xll.VoseSimPercentile(TotalBase,$B97)),_xll.VoseSimPercentile(TotalBase,$B97),NA())</f>
        <v>52.890010996570822</v>
      </c>
      <c r="G97" s="62">
        <f t="shared" si="3"/>
        <v>55</v>
      </c>
    </row>
    <row r="98" spans="2:7" hidden="1" outlineLevel="1" x14ac:dyDescent="0.45">
      <c r="B98" s="61">
        <v>0.95</v>
      </c>
      <c r="C98" s="61">
        <f t="shared" si="2"/>
        <v>5.0000000000000044E-2</v>
      </c>
      <c r="D98" s="62" cm="1">
        <f t="array" aca="1" ref="D98" ca="1">IF(ISNUMBER(_xll.VoseSimPercentile(TotalShared,$B98)),_xll.VoseSimPercentile(TotalShared,$B98),NA())</f>
        <v>62.076961795135958</v>
      </c>
      <c r="E98" s="62" cm="1">
        <f t="array" aca="1" ref="E98" ca="1">IF(ISNUMBER(_xll.VoseSimPercentile(TotalOwn,$B98)),_xll.VoseSimPercentile(TotalOwn,$B98),NA())</f>
        <v>58.021067133628776</v>
      </c>
      <c r="F98" s="62" cm="1">
        <f t="array" aca="1" ref="F98" ca="1">IF(ISNUMBER(_xll.VoseSimPercentile(TotalBase,$B98)),_xll.VoseSimPercentile(TotalBase,$B98),NA())</f>
        <v>53.191023627229519</v>
      </c>
      <c r="G98" s="62">
        <f t="shared" si="3"/>
        <v>55</v>
      </c>
    </row>
    <row r="99" spans="2:7" hidden="1" outlineLevel="1" x14ac:dyDescent="0.45">
      <c r="B99" s="61">
        <v>0.97</v>
      </c>
      <c r="C99" s="61">
        <f t="shared" si="2"/>
        <v>3.0000000000000027E-2</v>
      </c>
      <c r="D99" s="62" cm="1">
        <f t="array" aca="1" ref="D99" ca="1">IF(ISNUMBER(_xll.VoseSimPercentile(TotalShared,$B99)),_xll.VoseSimPercentile(TotalShared,$B99),NA())</f>
        <v>63.034708102735124</v>
      </c>
      <c r="E99" s="62" cm="1">
        <f t="array" aca="1" ref="E99" ca="1">IF(ISNUMBER(_xll.VoseSimPercentile(TotalOwn,$B99)),_xll.VoseSimPercentile(TotalOwn,$B99),NA())</f>
        <v>58.822959445157785</v>
      </c>
      <c r="F99" s="62" cm="1">
        <f t="array" aca="1" ref="F99" ca="1">IF(ISNUMBER(_xll.VoseSimPercentile(TotalBase,$B99)),_xll.VoseSimPercentile(TotalBase,$B99),NA())</f>
        <v>53.648320469236751</v>
      </c>
      <c r="G99" s="62">
        <f t="shared" si="3"/>
        <v>55</v>
      </c>
    </row>
    <row r="100" spans="2:7" hidden="1" outlineLevel="1" x14ac:dyDescent="0.45">
      <c r="B100" s="61">
        <v>0.99</v>
      </c>
      <c r="C100" s="61">
        <f t="shared" si="2"/>
        <v>1.0000000000000009E-2</v>
      </c>
      <c r="D100" s="62" cm="1">
        <f t="array" aca="1" ref="D100" ca="1">IF(ISNUMBER(_xll.VoseSimPercentile(TotalShared,$B100)),_xll.VoseSimPercentile(TotalShared,$B100),NA())</f>
        <v>64.735814357962056</v>
      </c>
      <c r="E100" s="62" cm="1">
        <f t="array" aca="1" ref="E100" ca="1">IF(ISNUMBER(_xll.VoseSimPercentile(TotalOwn,$B100)),_xll.VoseSimPercentile(TotalOwn,$B100),NA())</f>
        <v>60.279045333988698</v>
      </c>
      <c r="F100" s="62" cm="1">
        <f t="array" aca="1" ref="F100" ca="1">IF(ISNUMBER(_xll.VoseSimPercentile(TotalBase,$B100)),_xll.VoseSimPercentile(TotalBase,$B100),NA())</f>
        <v>54.519404930669374</v>
      </c>
      <c r="G100" s="62">
        <f t="shared" si="3"/>
        <v>55</v>
      </c>
    </row>
    <row r="101" spans="2:7" hidden="1" outlineLevel="1" x14ac:dyDescent="0.45"/>
    <row r="102" spans="2:7" hidden="1" outlineLevel="1" x14ac:dyDescent="0.45">
      <c r="B102" s="63" t="s">
        <v>214</v>
      </c>
      <c r="D102" s="64" cm="1">
        <f t="array" aca="1" ref="D102" ca="1">_xll.VoseSimMean(TotalShared)</f>
        <v>52.718645321572303</v>
      </c>
    </row>
    <row r="103" spans="2:7" ht="18" hidden="1" customHeight="1" outlineLevel="1" x14ac:dyDescent="0.45">
      <c r="B103" s="23" t="s">
        <v>215</v>
      </c>
      <c r="C103" s="5"/>
      <c r="D103" s="5"/>
      <c r="E103" s="5"/>
      <c r="F103" s="24" t="s">
        <v>216</v>
      </c>
      <c r="G103" s="24" t="s">
        <v>217</v>
      </c>
    </row>
    <row r="104" spans="2:7" hidden="1" outlineLevel="1" x14ac:dyDescent="0.45">
      <c r="B104" s="65" t="str">
        <f t="shared" ref="B104:B110" ca="1" si="4">B30</f>
        <v>Weather index this season</v>
      </c>
      <c r="F104" s="66">
        <f t="shared" ref="F104:F110" ca="1" si="5">IFERROR(D30-$D$102,NA())</f>
        <v>8.7458357215479481</v>
      </c>
      <c r="G104" s="66">
        <f t="shared" ref="G104:G110" ca="1" si="6">IFERROR(C30-$D$102,NA())</f>
        <v>-6.0781168035451927</v>
      </c>
    </row>
    <row r="105" spans="2:7" hidden="1" outlineLevel="1" x14ac:dyDescent="0.45">
      <c r="B105" s="65" t="str">
        <f t="shared" ca="1" si="4"/>
        <v>Walls and floors</v>
      </c>
      <c r="F105" s="66">
        <f t="shared" ca="1" si="5"/>
        <v>2.326005214214824</v>
      </c>
      <c r="G105" s="66">
        <f t="shared" ca="1" si="6"/>
        <v>-2.1012261561248735</v>
      </c>
    </row>
    <row r="106" spans="2:7" hidden="1" outlineLevel="1" x14ac:dyDescent="0.45">
      <c r="B106" s="65" t="str">
        <f t="shared" ca="1" si="4"/>
        <v>Dig foundations</v>
      </c>
      <c r="F106" s="66">
        <f t="shared" ca="1" si="5"/>
        <v>1.632459028444984</v>
      </c>
      <c r="G106" s="66">
        <f t="shared" ca="1" si="6"/>
        <v>-1.484075015770344</v>
      </c>
    </row>
    <row r="107" spans="2:7" hidden="1" outlineLevel="1" x14ac:dyDescent="0.45">
      <c r="B107" s="65" t="str">
        <f t="shared" ca="1" si="4"/>
        <v>Archaeology</v>
      </c>
      <c r="F107" s="66">
        <f t="shared" ca="1" si="5"/>
        <v>1.7641868554984583</v>
      </c>
      <c r="G107" s="66">
        <f t="shared" ca="1" si="6"/>
        <v>-1.0491475091681437</v>
      </c>
    </row>
    <row r="108" spans="2:7" hidden="1" outlineLevel="1" x14ac:dyDescent="0.45">
      <c r="B108" s="65" t="str">
        <f t="shared" ca="1" si="4"/>
        <v>Lay foundations</v>
      </c>
      <c r="F108" s="66">
        <f t="shared" ca="1" si="5"/>
        <v>1.338616863032783</v>
      </c>
      <c r="G108" s="66">
        <f t="shared" ca="1" si="6"/>
        <v>-1.0256189713086314</v>
      </c>
    </row>
    <row r="109" spans="2:7" hidden="1" outlineLevel="1" x14ac:dyDescent="0.45">
      <c r="B109" s="65" t="str">
        <f t="shared" ca="1" si="4"/>
        <v>Lay roofing</v>
      </c>
      <c r="F109" s="66">
        <f t="shared" ca="1" si="5"/>
        <v>1.3800120182946998</v>
      </c>
      <c r="G109" s="66">
        <f t="shared" ca="1" si="6"/>
        <v>-0.84774298339710441</v>
      </c>
    </row>
    <row r="110" spans="2:7" hidden="1" outlineLevel="1" x14ac:dyDescent="0.45">
      <c r="B110" s="65" t="str">
        <f t="shared" ca="1" si="4"/>
        <v>Formwork</v>
      </c>
      <c r="F110" s="66">
        <f t="shared" ca="1" si="5"/>
        <v>0.64356026866557414</v>
      </c>
      <c r="G110" s="66">
        <f t="shared" ca="1" si="6"/>
        <v>-0.3953436290207577</v>
      </c>
    </row>
  </sheetData>
  <mergeCells count="4">
    <mergeCell ref="B44:G44"/>
    <mergeCell ref="B43:G43"/>
    <mergeCell ref="B42:G42"/>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1:G100">
    <cfRule type="expression" dxfId="1" priority="3">
      <formula>ISNA(D51)</formula>
    </cfRule>
  </conditionalFormatting>
  <conditionalFormatting sqref="F104:G110">
    <cfRule type="expression" dxfId="0" priority="4">
      <formula>ISNA(F104)</formula>
    </cfRule>
  </conditionalFormatting>
  <hyperlinks>
    <hyperlink ref="B4" location="'Activities'!A1" display="◂  Activiti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2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09382-5234-4971-80D2-2824D02724E9}">
  <dimension ref="A1:B1"/>
  <sheetViews>
    <sheetView workbookViewId="0"/>
  </sheetViews>
  <sheetFormatPr defaultRowHeight="14.25" x14ac:dyDescent="0.45"/>
  <sheetData>
    <row r="1" spans="1:2" x14ac:dyDescent="0.45">
      <c r="A1" s="71" t="s">
        <v>218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205EF-278D-40EA-A93A-6349E3E6DFE4}">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5AC9C-5F14-45AE-A417-299E76A466B5}">
  <dimension ref="B3:B102"/>
  <sheetViews>
    <sheetView workbookViewId="0"/>
  </sheetViews>
  <sheetFormatPr defaultRowHeight="14.25" x14ac:dyDescent="0.45"/>
  <sheetData>
    <row r="3" spans="2:2" x14ac:dyDescent="0.45">
      <c r="B3">
        <v>236</v>
      </c>
    </row>
    <row r="4" spans="2:2" x14ac:dyDescent="0.45">
      <c r="B4">
        <v>0</v>
      </c>
    </row>
    <row r="5" spans="2:2" x14ac:dyDescent="0.45">
      <c r="B5">
        <v>609</v>
      </c>
    </row>
    <row r="6" spans="2:2" x14ac:dyDescent="0.45">
      <c r="B6">
        <v>0</v>
      </c>
    </row>
    <row r="7" spans="2:2" x14ac:dyDescent="0.45">
      <c r="B7">
        <v>505</v>
      </c>
    </row>
    <row r="8" spans="2:2" x14ac:dyDescent="0.45">
      <c r="B8">
        <v>0</v>
      </c>
    </row>
    <row r="9" spans="2:2" x14ac:dyDescent="0.45">
      <c r="B9">
        <v>0</v>
      </c>
    </row>
    <row r="10" spans="2:2" x14ac:dyDescent="0.45">
      <c r="B10">
        <v>386</v>
      </c>
    </row>
    <row r="11" spans="2:2" x14ac:dyDescent="0.45">
      <c r="B11">
        <v>0</v>
      </c>
    </row>
    <row r="12" spans="2:2" x14ac:dyDescent="0.45">
      <c r="B12">
        <v>264</v>
      </c>
    </row>
    <row r="13" spans="2:2" x14ac:dyDescent="0.45">
      <c r="B13">
        <v>20</v>
      </c>
    </row>
    <row r="14" spans="2:2" x14ac:dyDescent="0.45">
      <c r="B14">
        <v>111</v>
      </c>
    </row>
    <row r="15" spans="2:2" x14ac:dyDescent="0.45">
      <c r="B15">
        <v>253</v>
      </c>
    </row>
    <row r="16" spans="2:2" x14ac:dyDescent="0.45">
      <c r="B16">
        <v>418</v>
      </c>
    </row>
    <row r="17" spans="2:2" x14ac:dyDescent="0.45">
      <c r="B17">
        <v>446</v>
      </c>
    </row>
    <row r="18" spans="2:2" x14ac:dyDescent="0.45">
      <c r="B18">
        <v>358</v>
      </c>
    </row>
    <row r="19" spans="2:2" x14ac:dyDescent="0.45">
      <c r="B19">
        <v>238</v>
      </c>
    </row>
    <row r="20" spans="2:2" x14ac:dyDescent="0.45">
      <c r="B20">
        <v>119</v>
      </c>
    </row>
    <row r="21" spans="2:2" x14ac:dyDescent="0.45">
      <c r="B21">
        <v>31</v>
      </c>
    </row>
    <row r="22" spans="2:2" x14ac:dyDescent="0.45">
      <c r="B22">
        <v>6</v>
      </c>
    </row>
    <row r="23" spans="2:2" x14ac:dyDescent="0.45">
      <c r="B23">
        <v>84</v>
      </c>
    </row>
    <row r="24" spans="2:2" x14ac:dyDescent="0.45">
      <c r="B24">
        <v>341</v>
      </c>
    </row>
    <row r="25" spans="2:2" x14ac:dyDescent="0.45">
      <c r="B25">
        <v>435</v>
      </c>
    </row>
    <row r="26" spans="2:2" x14ac:dyDescent="0.45">
      <c r="B26">
        <v>244</v>
      </c>
    </row>
    <row r="27" spans="2:2" x14ac:dyDescent="0.45">
      <c r="B27">
        <v>222</v>
      </c>
    </row>
    <row r="28" spans="2:2" x14ac:dyDescent="0.45">
      <c r="B28">
        <v>281</v>
      </c>
    </row>
    <row r="29" spans="2:2" x14ac:dyDescent="0.45">
      <c r="B29">
        <v>213</v>
      </c>
    </row>
    <row r="30" spans="2:2" x14ac:dyDescent="0.45">
      <c r="B30">
        <v>132</v>
      </c>
    </row>
    <row r="31" spans="2:2" x14ac:dyDescent="0.45">
      <c r="B31">
        <v>39</v>
      </c>
    </row>
    <row r="32" spans="2:2" x14ac:dyDescent="0.45">
      <c r="B32">
        <v>9</v>
      </c>
    </row>
    <row r="33" spans="2:2" x14ac:dyDescent="0.45">
      <c r="B33">
        <v>26</v>
      </c>
    </row>
    <row r="34" spans="2:2" x14ac:dyDescent="0.45">
      <c r="B34">
        <v>90</v>
      </c>
    </row>
    <row r="35" spans="2:2" x14ac:dyDescent="0.45">
      <c r="B35">
        <v>216</v>
      </c>
    </row>
    <row r="36" spans="2:2" x14ac:dyDescent="0.45">
      <c r="B36">
        <v>401</v>
      </c>
    </row>
    <row r="37" spans="2:2" x14ac:dyDescent="0.45">
      <c r="B37">
        <v>470</v>
      </c>
    </row>
    <row r="38" spans="2:2" x14ac:dyDescent="0.45">
      <c r="B38">
        <v>351</v>
      </c>
    </row>
    <row r="39" spans="2:2" x14ac:dyDescent="0.45">
      <c r="B39">
        <v>242</v>
      </c>
    </row>
    <row r="40" spans="2:2" x14ac:dyDescent="0.45">
      <c r="B40">
        <v>132</v>
      </c>
    </row>
    <row r="41" spans="2:2" x14ac:dyDescent="0.45">
      <c r="B41">
        <v>58</v>
      </c>
    </row>
    <row r="42" spans="2:2" x14ac:dyDescent="0.45">
      <c r="B42">
        <v>14</v>
      </c>
    </row>
    <row r="43" spans="2:2" x14ac:dyDescent="0.45">
      <c r="B43">
        <v>60</v>
      </c>
    </row>
    <row r="44" spans="2:2" x14ac:dyDescent="0.45">
      <c r="B44">
        <v>184</v>
      </c>
    </row>
    <row r="45" spans="2:2" x14ac:dyDescent="0.45">
      <c r="B45">
        <v>295</v>
      </c>
    </row>
    <row r="46" spans="2:2" x14ac:dyDescent="0.45">
      <c r="B46">
        <v>370</v>
      </c>
    </row>
    <row r="47" spans="2:2" x14ac:dyDescent="0.45">
      <c r="B47">
        <v>329</v>
      </c>
    </row>
    <row r="48" spans="2:2" x14ac:dyDescent="0.45">
      <c r="B48">
        <v>245</v>
      </c>
    </row>
    <row r="49" spans="2:2" x14ac:dyDescent="0.45">
      <c r="B49">
        <v>204</v>
      </c>
    </row>
    <row r="50" spans="2:2" x14ac:dyDescent="0.45">
      <c r="B50">
        <v>176</v>
      </c>
    </row>
    <row r="51" spans="2:2" x14ac:dyDescent="0.45">
      <c r="B51">
        <v>93</v>
      </c>
    </row>
    <row r="52" spans="2:2" x14ac:dyDescent="0.45">
      <c r="B52">
        <v>44</v>
      </c>
    </row>
    <row r="53" spans="2:2" x14ac:dyDescent="0.45">
      <c r="B53">
        <v>45</v>
      </c>
    </row>
    <row r="54" spans="2:2" x14ac:dyDescent="0.45">
      <c r="B54">
        <v>113</v>
      </c>
    </row>
    <row r="55" spans="2:2" x14ac:dyDescent="0.45">
      <c r="B55">
        <v>198</v>
      </c>
    </row>
    <row r="56" spans="2:2" x14ac:dyDescent="0.45">
      <c r="B56">
        <v>295</v>
      </c>
    </row>
    <row r="57" spans="2:2" x14ac:dyDescent="0.45">
      <c r="B57">
        <v>328</v>
      </c>
    </row>
    <row r="58" spans="2:2" x14ac:dyDescent="0.45">
      <c r="B58">
        <v>352</v>
      </c>
    </row>
    <row r="59" spans="2:2" x14ac:dyDescent="0.45">
      <c r="B59">
        <v>280</v>
      </c>
    </row>
    <row r="60" spans="2:2" x14ac:dyDescent="0.45">
      <c r="B60">
        <v>211</v>
      </c>
    </row>
    <row r="61" spans="2:2" x14ac:dyDescent="0.45">
      <c r="B61">
        <v>127</v>
      </c>
    </row>
    <row r="62" spans="2:2" x14ac:dyDescent="0.45">
      <c r="B62">
        <v>51</v>
      </c>
    </row>
    <row r="63" spans="2:2" x14ac:dyDescent="0.45">
      <c r="B63">
        <v>396</v>
      </c>
    </row>
    <row r="64" spans="2:2" x14ac:dyDescent="0.45">
      <c r="B64">
        <v>324</v>
      </c>
    </row>
    <row r="65" spans="2:2" x14ac:dyDescent="0.45">
      <c r="B65">
        <v>301</v>
      </c>
    </row>
    <row r="66" spans="2:2" x14ac:dyDescent="0.45">
      <c r="B66">
        <v>257</v>
      </c>
    </row>
    <row r="67" spans="2:2" x14ac:dyDescent="0.45">
      <c r="B67">
        <v>208</v>
      </c>
    </row>
    <row r="68" spans="2:2" x14ac:dyDescent="0.45">
      <c r="B68">
        <v>150</v>
      </c>
    </row>
    <row r="69" spans="2:2" x14ac:dyDescent="0.45">
      <c r="B69">
        <v>134</v>
      </c>
    </row>
    <row r="70" spans="2:2" x14ac:dyDescent="0.45">
      <c r="B70">
        <v>113</v>
      </c>
    </row>
    <row r="71" spans="2:2" x14ac:dyDescent="0.45">
      <c r="B71">
        <v>71</v>
      </c>
    </row>
    <row r="72" spans="2:2" x14ac:dyDescent="0.45">
      <c r="B72">
        <v>46</v>
      </c>
    </row>
    <row r="73" spans="2:2" x14ac:dyDescent="0.45">
      <c r="B73">
        <v>79</v>
      </c>
    </row>
    <row r="74" spans="2:2" x14ac:dyDescent="0.45">
      <c r="B74">
        <v>182</v>
      </c>
    </row>
    <row r="75" spans="2:2" x14ac:dyDescent="0.45">
      <c r="B75">
        <v>301</v>
      </c>
    </row>
    <row r="76" spans="2:2" x14ac:dyDescent="0.45">
      <c r="B76">
        <v>346</v>
      </c>
    </row>
    <row r="77" spans="2:2" x14ac:dyDescent="0.45">
      <c r="B77">
        <v>316</v>
      </c>
    </row>
    <row r="78" spans="2:2" x14ac:dyDescent="0.45">
      <c r="B78">
        <v>282</v>
      </c>
    </row>
    <row r="79" spans="2:2" x14ac:dyDescent="0.45">
      <c r="B79">
        <v>220</v>
      </c>
    </row>
    <row r="80" spans="2:2" x14ac:dyDescent="0.45">
      <c r="B80">
        <v>153</v>
      </c>
    </row>
    <row r="81" spans="2:2" x14ac:dyDescent="0.45">
      <c r="B81">
        <v>84</v>
      </c>
    </row>
    <row r="82" spans="2:2" x14ac:dyDescent="0.45">
      <c r="B82">
        <v>37</v>
      </c>
    </row>
    <row r="83" spans="2:2" x14ac:dyDescent="0.45">
      <c r="B83">
        <v>71</v>
      </c>
    </row>
    <row r="84" spans="2:2" x14ac:dyDescent="0.45">
      <c r="B84">
        <v>160</v>
      </c>
    </row>
    <row r="85" spans="2:2" x14ac:dyDescent="0.45">
      <c r="B85">
        <v>331</v>
      </c>
    </row>
    <row r="86" spans="2:2" x14ac:dyDescent="0.45">
      <c r="B86">
        <v>372</v>
      </c>
    </row>
    <row r="87" spans="2:2" x14ac:dyDescent="0.45">
      <c r="B87">
        <v>313</v>
      </c>
    </row>
    <row r="88" spans="2:2" x14ac:dyDescent="0.45">
      <c r="B88">
        <v>253</v>
      </c>
    </row>
    <row r="89" spans="2:2" x14ac:dyDescent="0.45">
      <c r="B89">
        <v>211</v>
      </c>
    </row>
    <row r="90" spans="2:2" x14ac:dyDescent="0.45">
      <c r="B90">
        <v>147</v>
      </c>
    </row>
    <row r="91" spans="2:2" x14ac:dyDescent="0.45">
      <c r="B91">
        <v>103</v>
      </c>
    </row>
    <row r="92" spans="2:2" x14ac:dyDescent="0.45">
      <c r="B92">
        <v>39</v>
      </c>
    </row>
    <row r="93" spans="2:2" x14ac:dyDescent="0.45">
      <c r="B93">
        <v>58</v>
      </c>
    </row>
    <row r="94" spans="2:2" x14ac:dyDescent="0.45">
      <c r="B94">
        <v>195</v>
      </c>
    </row>
    <row r="95" spans="2:2" x14ac:dyDescent="0.45">
      <c r="B95">
        <v>287</v>
      </c>
    </row>
    <row r="96" spans="2:2" x14ac:dyDescent="0.45">
      <c r="B96">
        <v>397</v>
      </c>
    </row>
    <row r="97" spans="2:2" x14ac:dyDescent="0.45">
      <c r="B97">
        <v>332</v>
      </c>
    </row>
    <row r="98" spans="2:2" x14ac:dyDescent="0.45">
      <c r="B98">
        <v>246</v>
      </c>
    </row>
    <row r="99" spans="2:2" x14ac:dyDescent="0.45">
      <c r="B99">
        <v>194</v>
      </c>
    </row>
    <row r="100" spans="2:2" x14ac:dyDescent="0.45">
      <c r="B100">
        <v>150</v>
      </c>
    </row>
    <row r="101" spans="2:2" x14ac:dyDescent="0.45">
      <c r="B101">
        <v>94</v>
      </c>
    </row>
    <row r="102" spans="2:2" x14ac:dyDescent="0.45">
      <c r="B102">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D6BD61A9-F11A-49C4-8029-05F4C3D0E60E}">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41</vt:i4>
      </vt:variant>
    </vt:vector>
  </HeadingPairs>
  <TitlesOfParts>
    <vt:vector size="48" baseType="lpstr">
      <vt:lpstr>About</vt:lpstr>
      <vt:lpstr>Inputs</vt:lpstr>
      <vt:lpstr>Activities</vt:lpstr>
      <vt:lpstr>Results</vt:lpstr>
      <vt:lpstr>ModelRiskDSN</vt:lpstr>
      <vt:lpstr>ModelRiskSYS1</vt:lpstr>
      <vt:lpstr>ModelRiskCharts</vt:lpstr>
      <vt:lpstr>Base1</vt:lpstr>
      <vt:lpstr>Base1_Hi</vt:lpstr>
      <vt:lpstr>Base1_Lo</vt:lpstr>
      <vt:lpstr>Base1_ML</vt:lpstr>
      <vt:lpstr>Base2</vt:lpstr>
      <vt:lpstr>Base2_Hi</vt:lpstr>
      <vt:lpstr>Base2_Lo</vt:lpstr>
      <vt:lpstr>Base2_ML</vt:lpstr>
      <vt:lpstr>Base3</vt:lpstr>
      <vt:lpstr>Base3_Hi</vt:lpstr>
      <vt:lpstr>Base3_Lo</vt:lpstr>
      <vt:lpstr>Base3_ML</vt:lpstr>
      <vt:lpstr>Base4</vt:lpstr>
      <vt:lpstr>Base4_Hi</vt:lpstr>
      <vt:lpstr>Base4_Lo</vt:lpstr>
      <vt:lpstr>Base4_ML</vt:lpstr>
      <vt:lpstr>Base5</vt:lpstr>
      <vt:lpstr>Base5_Hi</vt:lpstr>
      <vt:lpstr>Base5_Lo</vt:lpstr>
      <vt:lpstr>Base5_ML</vt:lpstr>
      <vt:lpstr>Base6</vt:lpstr>
      <vt:lpstr>Base6_Hi</vt:lpstr>
      <vt:lpstr>Base6_Lo</vt:lpstr>
      <vt:lpstr>Base6_ML</vt:lpstr>
      <vt:lpstr>Checks</vt:lpstr>
      <vt:lpstr>Deadline</vt:lpstr>
      <vt:lpstr>DurO_Dig</vt:lpstr>
      <vt:lpstr>DurO_Lay</vt:lpstr>
      <vt:lpstr>DurS_Dig</vt:lpstr>
      <vt:lpstr>DurS_Lay</vt:lpstr>
      <vt:lpstr>LateOwn</vt:lpstr>
      <vt:lpstr>LateShared</vt:lpstr>
      <vt:lpstr>Results!Print_Area</vt:lpstr>
      <vt:lpstr>Inputs!Print_Titles</vt:lpstr>
      <vt:lpstr>Results!Print_Titles</vt:lpstr>
      <vt:lpstr>TotalBase</vt:lpstr>
      <vt:lpstr>TotalOwn</vt:lpstr>
      <vt:lpstr>TotalShared</vt:lpstr>
      <vt:lpstr>Weather</vt:lpstr>
      <vt:lpstr>WeatherProbs</vt:lpstr>
      <vt:lpstr>WeatherVals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GU-07 Correlation Through a Common Factor (Look-up Table)</dc:title>
  <dc:subject>ModelRisk industry example library — General use</dc:subject>
  <dc:creator>Vose Software</dc:creator>
  <cp:keywords>ModelRisk; Monte Carlo; General use</cp:keywords>
  <dc:description>Six activities slowed by the same season: correlation through a common factor and a look-up table.</dc:description>
  <cp:lastModifiedBy>Timour Koupeev</cp:lastModifiedBy>
  <cp:lastPrinted>2026-10-07T13:13:09Z</cp:lastPrinted>
  <dcterms:created xsi:type="dcterms:W3CDTF">2026-10-07T13:10:49Z</dcterms:created>
  <dcterms:modified xsi:type="dcterms:W3CDTF">2026-10-07T13:13:14Z</dcterms:modified>
</cp:coreProperties>
</file>