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General use\"/>
    </mc:Choice>
  </mc:AlternateContent>
  <xr:revisionPtr revIDLastSave="0" documentId="8_{9F91E199-7DB9-422F-8FE5-CCF03908182A}"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Rates" sheetId="3" r:id="rId3"/>
    <sheet name="Results" sheetId="4" r:id="rId4"/>
    <sheet name="ModelRiskDSN" sheetId="5" state="hidden" r:id="rId5"/>
    <sheet name="ModelRiskSYS1" sheetId="6" state="hidden" r:id="rId6"/>
    <sheet name="ModelRiskCharts" sheetId="7" state="hidden" r:id="rId7"/>
  </sheets>
  <definedNames>
    <definedName name="Checks">Rates!$D$35:$D$38</definedName>
    <definedName name="EnvMax">Rates!$F$10:$F$12</definedName>
    <definedName name="EnvMin">Rates!$D$10:$D$12</definedName>
    <definedName name="EnvML">Rates!$E$10:$E$12</definedName>
    <definedName name="EnvRate">Rates!$B$10:$B$12</definedName>
    <definedName name="HighCut">Inputs!$D$17</definedName>
    <definedName name="HighFlag">Rates!$D$30</definedName>
    <definedName name="InputMeans">Inputs!$I$11:$I$11</definedName>
    <definedName name="Interest">Inputs!$D$11</definedName>
    <definedName name="Interest_Hi">Inputs!$H$11</definedName>
    <definedName name="Interest_Lo">Inputs!$F$11</definedName>
    <definedName name="Interest_Mean">Inputs!$I$11</definedName>
    <definedName name="Interest_ML">Inputs!$G$11</definedName>
    <definedName name="InterestOut">Rates!$D$25</definedName>
    <definedName name="LowCut">Inputs!$D$16</definedName>
    <definedName name="LowFlag">Rates!$D$28</definedName>
    <definedName name="Mortgage">Rates!$D$20</definedName>
    <definedName name="MortgageOut">Rates!$D$26</definedName>
    <definedName name="MortHigh">Rates!$D$31</definedName>
    <definedName name="MortLow">Rates!$D$29</definedName>
    <definedName name="MortMax">Rates!$D$19</definedName>
    <definedName name="MortMin">Rates!$D$17</definedName>
    <definedName name="MortML">Rates!$D$18</definedName>
    <definedName name="_xlnm.Print_Area" localSheetId="2">Rates!$A$1:$H$64</definedName>
    <definedName name="_xlnm.Print_Area" localSheetId="3">Results!$A$1:$R$32</definedName>
    <definedName name="_xlnm.Print_Titles" localSheetId="1">Inputs!$1:$4</definedName>
    <definedName name="_xlnm.Print_Titles" localSheetId="3">Results!$1:$4</definedName>
    <definedName name="Rate">Rates!$D$16</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pread">Rates!$D$27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7" i="4" l="1"/>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C50" i="4"/>
  <c r="C49" i="4"/>
  <c r="C48" i="4"/>
  <c r="C47" i="4"/>
  <c r="C46" i="4"/>
  <c r="C45" i="4"/>
  <c r="C44" i="4"/>
  <c r="C43" i="4"/>
  <c r="C42" i="4"/>
  <c r="C41" i="4"/>
  <c r="C40" i="4"/>
  <c r="C39" i="4"/>
  <c r="C38" i="4"/>
  <c r="F86" i="3"/>
  <c r="E86" i="3"/>
  <c r="D86" i="3"/>
  <c r="F85" i="3"/>
  <c r="E85" i="3"/>
  <c r="D85" i="3"/>
  <c r="F84" i="3"/>
  <c r="E84" i="3"/>
  <c r="D84" i="3"/>
  <c r="F83" i="3"/>
  <c r="E83" i="3"/>
  <c r="D83" i="3"/>
  <c r="F82" i="3"/>
  <c r="E82" i="3"/>
  <c r="D82" i="3"/>
  <c r="F81" i="3"/>
  <c r="E81" i="3"/>
  <c r="D81" i="3"/>
  <c r="F80" i="3"/>
  <c r="E80" i="3"/>
  <c r="D80" i="3"/>
  <c r="F79" i="3"/>
  <c r="E79" i="3"/>
  <c r="D79" i="3"/>
  <c r="F78" i="3"/>
  <c r="E78" i="3"/>
  <c r="D78" i="3"/>
  <c r="F77" i="3"/>
  <c r="E77" i="3"/>
  <c r="D77" i="3"/>
  <c r="F76" i="3"/>
  <c r="E76" i="3"/>
  <c r="D76" i="3"/>
  <c r="F75" i="3"/>
  <c r="E75" i="3"/>
  <c r="D75" i="3"/>
  <c r="F74" i="3"/>
  <c r="E74" i="3"/>
  <c r="D74" i="3"/>
  <c r="F73" i="3"/>
  <c r="E73" i="3"/>
  <c r="D73" i="3"/>
  <c r="F72" i="3"/>
  <c r="E72" i="3"/>
  <c r="D72" i="3"/>
  <c r="F71" i="3"/>
  <c r="E71" i="3"/>
  <c r="D71" i="3"/>
  <c r="F70" i="3"/>
  <c r="E70" i="3"/>
  <c r="D70" i="3"/>
  <c r="F69" i="3"/>
  <c r="E69" i="3"/>
  <c r="D69" i="3"/>
  <c r="F68" i="3"/>
  <c r="E68" i="3"/>
  <c r="D68" i="3"/>
  <c r="F67" i="3"/>
  <c r="E67" i="3"/>
  <c r="D67" i="3"/>
  <c r="F66" i="3"/>
  <c r="E66" i="3"/>
  <c r="D66" i="3"/>
  <c r="D37" i="3"/>
  <c r="D36" i="3"/>
  <c r="D35" i="3"/>
  <c r="I11" i="2" a="1"/>
  <c r="D11" i="2" a="1"/>
  <c r="D11" i="2" l="1"/>
  <c r="D16" i="3" s="1"/>
  <c r="I11" i="2"/>
  <c r="D18" i="3" l="1"/>
  <c r="D17" i="3"/>
  <c r="D19" i="3"/>
  <c r="D25" i="3" a="1"/>
  <c r="D25" i="3" s="1"/>
  <c r="D86" i="4" a="1"/>
  <c r="D54" i="4" a="1"/>
  <c r="D48" i="4" a="1"/>
  <c r="D81" i="4" a="1"/>
  <c r="D67" i="4" a="1"/>
  <c r="D76" i="4" a="1"/>
  <c r="D83" i="4" a="1"/>
  <c r="D51" i="4" a="1"/>
  <c r="D49" i="4" a="1"/>
  <c r="D50" i="4" a="1"/>
  <c r="D72" i="4" a="1"/>
  <c r="D47" i="4" a="1"/>
  <c r="D46" i="4" a="1"/>
  <c r="D40" i="4" a="1"/>
  <c r="D77" i="4" a="1"/>
  <c r="D45" i="4" a="1"/>
  <c r="D42" i="4" a="1"/>
  <c r="D56" i="4" a="1"/>
  <c r="D75" i="4" a="1"/>
  <c r="D43" i="4" a="1"/>
  <c r="D44" i="4" a="1"/>
  <c r="D73" i="4" a="1"/>
  <c r="D57" i="4" a="1"/>
  <c r="D41" i="4" a="1"/>
  <c r="D66" i="4" a="1"/>
  <c r="D12" i="4" a="1"/>
  <c r="F12" i="4" a="1"/>
  <c r="D87" i="4" a="1"/>
  <c r="D71" i="4" a="1"/>
  <c r="D55" i="4" a="1"/>
  <c r="D39" i="4" a="1"/>
  <c r="D62" i="4" a="1"/>
  <c r="G12" i="4" a="1"/>
  <c r="D80" i="4" a="1"/>
  <c r="D65" i="4" a="1"/>
  <c r="D82" i="4" a="1"/>
  <c r="D68" i="4" a="1"/>
  <c r="D79" i="4" a="1"/>
  <c r="D63" i="4" a="1"/>
  <c r="D78" i="4" a="1"/>
  <c r="D60" i="4" a="1"/>
  <c r="D61" i="4" a="1"/>
  <c r="D74" i="4" a="1"/>
  <c r="D52" i="4" a="1"/>
  <c r="D59" i="4" a="1"/>
  <c r="D70" i="4" a="1"/>
  <c r="D38" i="4" a="1"/>
  <c r="D85" i="4" a="1"/>
  <c r="D69" i="4" a="1"/>
  <c r="D53" i="4" a="1"/>
  <c r="E12" i="4" a="1"/>
  <c r="D58" i="4" a="1"/>
  <c r="D84" i="4" a="1"/>
  <c r="D64" i="4" a="1"/>
  <c r="D20" i="3" a="1"/>
  <c r="B1032" i="3" a="1"/>
  <c r="B924" i="3" a="1"/>
  <c r="B857" i="3" a="1"/>
  <c r="B575" i="3" a="1"/>
  <c r="B916" i="3" a="1"/>
  <c r="B1065" i="3" a="1"/>
  <c r="B324" i="3" a="1"/>
  <c r="B915" i="3" a="1"/>
  <c r="B801" i="3" a="1"/>
  <c r="B874" i="3" a="1"/>
  <c r="B930" i="3" a="1"/>
  <c r="B694" i="3" a="1"/>
  <c r="B396" i="3" a="1"/>
  <c r="B682" i="3" a="1"/>
  <c r="B1006" i="3" a="1"/>
  <c r="B132" i="3" a="1"/>
  <c r="B943" i="3" a="1"/>
  <c r="B644" i="3" a="1"/>
  <c r="B598" i="3" a="1"/>
  <c r="B897" i="3" a="1"/>
  <c r="B102" i="3" a="1"/>
  <c r="B181" i="3" a="1"/>
  <c r="B455" i="3" a="1"/>
  <c r="B258" i="3" a="1"/>
  <c r="B1000" i="3" a="1"/>
  <c r="B761" i="3" a="1"/>
  <c r="B246" i="3" a="1"/>
  <c r="B670" i="3" a="1"/>
  <c r="B242" i="3" a="1"/>
  <c r="B607" i="3" a="1"/>
  <c r="B858" i="3" a="1"/>
  <c r="B1070" i="3" a="1"/>
  <c r="B243" i="3" a="1"/>
  <c r="B1037" i="3" a="1"/>
  <c r="B642" i="3" a="1"/>
  <c r="B550" i="3" a="1"/>
  <c r="B865" i="3" a="1"/>
  <c r="B800" i="3" a="1"/>
  <c r="B117" i="3" a="1"/>
  <c r="B640" i="3" a="1"/>
  <c r="B595" i="3" a="1"/>
  <c r="B535" i="3" a="1"/>
  <c r="B1036" i="3" a="1"/>
  <c r="B941" i="3" a="1"/>
  <c r="B820" i="3" a="1"/>
  <c r="B431" i="3" a="1"/>
  <c r="B376" i="3" a="1"/>
  <c r="B378" i="3" a="1"/>
  <c r="B146" i="3" a="1"/>
  <c r="B657" i="3" a="1"/>
  <c r="B596" i="3" a="1"/>
  <c r="B963" i="3" a="1"/>
  <c r="B821" i="3" a="1"/>
  <c r="B687" i="3" a="1"/>
  <c r="B425" i="3" a="1"/>
  <c r="B851" i="3" a="1"/>
  <c r="B490" i="3" a="1"/>
  <c r="B556" i="3" a="1"/>
  <c r="B333" i="3" a="1"/>
  <c r="B420" i="3" a="1"/>
  <c r="B201" i="3" a="1"/>
  <c r="B171" i="3" a="1"/>
  <c r="B847" i="3" a="1"/>
  <c r="B863" i="3" a="1"/>
  <c r="B443" i="3" a="1"/>
  <c r="B525" i="3" a="1"/>
  <c r="B779" i="3" a="1"/>
  <c r="B210" i="3" a="1"/>
  <c r="B965" i="3" a="1"/>
  <c r="B688" i="3" a="1"/>
  <c r="B934" i="3" a="1"/>
  <c r="B612" i="3" a="1"/>
  <c r="B530" i="3" a="1"/>
  <c r="B988" i="3" a="1"/>
  <c r="B837" i="3" a="1"/>
  <c r="B716" i="3" a="1"/>
  <c r="B429" i="3" a="1"/>
  <c r="B506" i="3" a="1"/>
  <c r="B365" i="3" a="1"/>
  <c r="B100" i="3" a="1"/>
  <c r="B585" i="3" a="1"/>
  <c r="B215" i="3" a="1"/>
  <c r="B955" i="3" a="1"/>
  <c r="B818" i="3" a="1"/>
  <c r="B839" i="3" a="1"/>
  <c r="B793" i="3" a="1"/>
  <c r="B560" i="3" a="1"/>
  <c r="B426" i="3" a="1"/>
  <c r="B136" i="3" a="1"/>
  <c r="B260" i="3" a="1"/>
  <c r="B408" i="3" a="1"/>
  <c r="B197" i="3" a="1"/>
  <c r="B337" i="3" a="1"/>
  <c r="B997" i="3" a="1"/>
  <c r="B937" i="3" a="1"/>
  <c r="B856" i="3" a="1"/>
  <c r="B788" i="3" a="1"/>
  <c r="B393" i="3" a="1"/>
  <c r="B771" i="3" a="1"/>
  <c r="B418" i="3" a="1"/>
  <c r="B371" i="3" a="1"/>
  <c r="B96" i="3" a="1"/>
  <c r="B310" i="3" a="1"/>
  <c r="B202" i="3" a="1"/>
  <c r="B689" i="3" a="1"/>
  <c r="B293" i="3" a="1"/>
  <c r="B321" i="3" a="1"/>
  <c r="B335" i="3" a="1"/>
  <c r="B992" i="3" a="1"/>
  <c r="B1026" i="3" a="1"/>
  <c r="B840" i="3" a="1"/>
  <c r="B730" i="3" a="1"/>
  <c r="B783" i="3" a="1"/>
  <c r="B493" i="3" a="1"/>
  <c r="B381" i="3" a="1"/>
  <c r="B712" i="3" a="1"/>
  <c r="B394" i="3" a="1"/>
  <c r="B347" i="3" a="1"/>
  <c r="B92" i="3" a="1"/>
  <c r="B292" i="3" a="1"/>
  <c r="B182" i="3" a="1"/>
  <c r="B795" i="3" a="1"/>
  <c r="B245" i="3" a="1"/>
  <c r="B307" i="3" a="1"/>
  <c r="B332" i="3" a="1"/>
  <c r="B1058" i="3" a="1"/>
  <c r="B918" i="3" a="1"/>
  <c r="B757" i="3" a="1"/>
  <c r="B507" i="3" a="1"/>
  <c r="B587" i="3" a="1"/>
  <c r="B1010" i="3" a="1"/>
  <c r="B998" i="3" a="1"/>
  <c r="B838" i="3" a="1"/>
  <c r="B714" i="3" a="1"/>
  <c r="B780" i="3" a="1"/>
  <c r="B475" i="3" a="1"/>
  <c r="B1012" i="3" a="1"/>
  <c r="B573" i="3" a="1"/>
  <c r="B382" i="3" a="1"/>
  <c r="B315" i="3" a="1"/>
  <c r="B1022" i="3" a="1"/>
  <c r="B280" i="3" a="1"/>
  <c r="B178" i="3" a="1"/>
  <c r="B548" i="3" a="1"/>
  <c r="B241" i="3" a="1"/>
  <c r="B731" i="3" a="1"/>
  <c r="B291" i="3" a="1"/>
  <c r="B1015" i="3" a="1"/>
  <c r="B977" i="3" a="1"/>
  <c r="B923" i="3" a="1"/>
  <c r="B826" i="3" a="1"/>
  <c r="B746" i="3" a="1"/>
  <c r="B614" i="3" a="1"/>
  <c r="B1027" i="3" a="1"/>
  <c r="B719" i="3" a="1"/>
  <c r="B495" i="3" a="1"/>
  <c r="B427" i="3" a="1"/>
  <c r="B681" i="3" a="1"/>
  <c r="B906" i="3" a="1"/>
  <c r="B760" i="3" a="1"/>
  <c r="B478" i="3" a="1"/>
  <c r="B705" i="3" a="1"/>
  <c r="B392" i="3" a="1"/>
  <c r="B330" i="3" a="1"/>
  <c r="B244" i="3" a="1"/>
  <c r="B112" i="3" a="1"/>
  <c r="B537" i="3" a="1"/>
  <c r="B377" i="3" a="1"/>
  <c r="B141" i="3" a="1"/>
  <c r="B633" i="3" a="1"/>
  <c r="B353" i="3" a="1"/>
  <c r="B1040" i="3" a="1"/>
  <c r="B932" i="3" a="1"/>
  <c r="B913" i="3" a="1"/>
  <c r="B926" i="3" a="1"/>
  <c r="B886" i="3" a="1"/>
  <c r="B957" i="3" a="1"/>
  <c r="B717" i="3" a="1"/>
  <c r="B610" i="3" a="1"/>
  <c r="B867" i="3" a="1"/>
  <c r="B692" i="3" a="1"/>
  <c r="B487" i="3" a="1"/>
  <c r="B395" i="3" a="1"/>
  <c r="B639" i="3" a="1"/>
  <c r="B592" i="3" a="1"/>
  <c r="B581" i="3" a="1"/>
  <c r="B422" i="3" a="1"/>
  <c r="B673" i="3" a="1"/>
  <c r="B168" i="3" a="1"/>
  <c r="B979" i="3" a="1"/>
  <c r="B308" i="3" a="1"/>
  <c r="B212" i="3" a="1"/>
  <c r="B586" i="3" a="1"/>
  <c r="B351" i="3" a="1"/>
  <c r="B269" i="3" a="1"/>
  <c r="B113" i="3" a="1"/>
  <c r="B569" i="3" a="1"/>
  <c r="B151" i="3" a="1"/>
  <c r="B972" i="3" a="1"/>
  <c r="B1047" i="3" a="1"/>
  <c r="B908" i="3" a="1"/>
  <c r="B884" i="3" a="1"/>
  <c r="B824" i="3" a="1"/>
  <c r="B813" i="3" a="1"/>
  <c r="B666" i="3" a="1"/>
  <c r="B608" i="3" a="1"/>
  <c r="B935" i="3" a="1"/>
  <c r="B748" i="3" a="1"/>
  <c r="B566" i="3" a="1"/>
  <c r="B473" i="3" a="1"/>
  <c r="B399" i="3" a="1"/>
  <c r="B750" i="3" a="1"/>
  <c r="B579" i="3" a="1"/>
  <c r="B552" i="3" a="1"/>
  <c r="B691" i="3" a="1"/>
  <c r="B486" i="3" a="1"/>
  <c r="B554" i="3" a="1"/>
  <c r="B519" i="3" a="1"/>
  <c r="B540" i="3" a="1"/>
  <c r="B88" i="3" a="1"/>
  <c r="B373" i="3" a="1"/>
  <c r="B290" i="3" a="1"/>
  <c r="B234" i="3" a="1"/>
  <c r="B142" i="3" a="1"/>
  <c r="B774" i="3" a="1"/>
  <c r="B227" i="3" a="1"/>
  <c r="B277" i="3" a="1"/>
  <c r="B177" i="3" a="1"/>
  <c r="B295" i="3" a="1"/>
  <c r="B203" i="3" a="1"/>
  <c r="B275" i="3" a="1"/>
  <c r="B1072" i="3" a="1"/>
  <c r="B1042" i="3" a="1"/>
  <c r="B1030" i="3" a="1"/>
  <c r="B876" i="3" a="1"/>
  <c r="B904" i="3" a="1"/>
  <c r="B762" i="3" a="1"/>
  <c r="B646" i="3" a="1"/>
  <c r="B899" i="3" a="1"/>
  <c r="B724" i="3" a="1"/>
  <c r="B558" i="3" a="1"/>
  <c r="B471" i="3" a="1"/>
  <c r="B397" i="3" a="1"/>
  <c r="B729" i="3" a="1"/>
  <c r="B547" i="3" a="1"/>
  <c r="B927" i="3" a="1"/>
  <c r="B589" i="3" a="1"/>
  <c r="B482" i="3" a="1"/>
  <c r="B424" i="3" a="1"/>
  <c r="B379" i="3" a="1"/>
  <c r="B184" i="3" a="1"/>
  <c r="B404" i="3" a="1"/>
  <c r="B370" i="3" a="1"/>
  <c r="B282" i="3" a="1"/>
  <c r="B214" i="3" a="1"/>
  <c r="B116" i="3" a="1"/>
  <c r="B752" i="3" a="1"/>
  <c r="B95" i="3" a="1"/>
  <c r="B273" i="3" a="1"/>
  <c r="B145" i="3" a="1"/>
  <c r="B91" i="3" a="1"/>
  <c r="B187" i="3" a="1"/>
  <c r="B167" i="3" a="1"/>
  <c r="B1069" i="3" a="1"/>
  <c r="B976" i="3" a="1"/>
  <c r="B994" i="3" a="1"/>
  <c r="B1004" i="3" a="1"/>
  <c r="B1062" i="3" a="1"/>
  <c r="B890" i="3" a="1"/>
  <c r="B854" i="3" a="1"/>
  <c r="B831" i="3" a="1"/>
  <c r="B781" i="3" a="1"/>
  <c r="B690" i="3" a="1"/>
  <c r="B638" i="3" a="1"/>
  <c r="B875" i="3" a="1"/>
  <c r="B775" i="3" a="1"/>
  <c r="B684" i="3" a="1"/>
  <c r="B505" i="3" a="1"/>
  <c r="B459" i="3" a="1"/>
  <c r="B423" i="3" a="1"/>
  <c r="B845" i="3" a="1"/>
  <c r="B665" i="3" a="1"/>
  <c r="B523" i="3" a="1"/>
  <c r="B528" i="3" a="1"/>
  <c r="B755" i="3" a="1"/>
  <c r="B517" i="3" a="1"/>
  <c r="B446" i="3" a="1"/>
  <c r="B472" i="3" a="1"/>
  <c r="B662" i="3" a="1"/>
  <c r="B323" i="3" a="1"/>
  <c r="B156" i="3" a="1"/>
  <c r="B522" i="3" a="1"/>
  <c r="B683" i="3" a="1"/>
  <c r="B314" i="3" a="1"/>
  <c r="B274" i="3" a="1"/>
  <c r="B218" i="3" a="1"/>
  <c r="B174" i="3" a="1"/>
  <c r="B538" i="3" a="1"/>
  <c r="B89" i="3" a="1"/>
  <c r="B127" i="3" a="1"/>
  <c r="B340" i="3" a="1"/>
  <c r="B229" i="3" a="1"/>
  <c r="B137" i="3" a="1"/>
  <c r="B207" i="3" a="1"/>
  <c r="B299" i="3" a="1"/>
  <c r="B580" i="3" a="1"/>
  <c r="B143" i="3" a="1"/>
  <c r="B1056" i="3" a="1"/>
  <c r="B974" i="3" a="1"/>
  <c r="B1082" i="3" a="1"/>
  <c r="B983" i="3" a="1"/>
  <c r="B993" i="3" a="1"/>
  <c r="B1051" i="3" a="1"/>
  <c r="B888" i="3" a="1"/>
  <c r="B852" i="3" a="1"/>
  <c r="B1081" i="3" a="1"/>
  <c r="B778" i="3" a="1"/>
  <c r="B685" i="3" a="1"/>
  <c r="B630" i="3" a="1"/>
  <c r="B946" i="3" a="1"/>
  <c r="B871" i="3" a="1"/>
  <c r="B772" i="3" a="1"/>
  <c r="B660" i="3" a="1"/>
  <c r="B503" i="3" a="1"/>
  <c r="B457" i="3" a="1"/>
  <c r="B407" i="3" a="1"/>
  <c r="B814" i="3" a="1"/>
  <c r="B643" i="3" a="1"/>
  <c r="B959" i="3" a="1"/>
  <c r="B744" i="3" a="1"/>
  <c r="B912" i="3" a="1"/>
  <c r="B442" i="3" a="1"/>
  <c r="B436" i="3" a="1"/>
  <c r="B629" i="3" a="1"/>
  <c r="B320" i="3" a="1"/>
  <c r="B152" i="3" a="1"/>
  <c r="B504" i="3" a="1"/>
  <c r="B672" i="3" a="1"/>
  <c r="B312" i="3" a="1"/>
  <c r="B266" i="3" a="1"/>
  <c r="B216" i="3" a="1"/>
  <c r="B170" i="3" a="1"/>
  <c r="B508" i="3" a="1"/>
  <c r="B817" i="3" a="1"/>
  <c r="B111" i="3" a="1"/>
  <c r="B334" i="3" a="1"/>
  <c r="B213" i="3" a="1"/>
  <c r="B133" i="3" a="1"/>
  <c r="B195" i="3" a="1"/>
  <c r="B283" i="3" a="1"/>
  <c r="B553" i="3" a="1"/>
  <c r="B1001" i="3" a="1"/>
  <c r="B1029" i="3" a="1"/>
  <c r="B1055" i="3" a="1"/>
  <c r="B991" i="3" a="1"/>
  <c r="B1068" i="3" a="1"/>
  <c r="B929" i="3" a="1"/>
  <c r="B1046" i="3" a="1"/>
  <c r="B907" i="3" a="1"/>
  <c r="B868" i="3" a="1"/>
  <c r="B836" i="3" a="1"/>
  <c r="B1060" i="3" a="1"/>
  <c r="B789" i="3" a="1"/>
  <c r="B725" i="3" a="1"/>
  <c r="B661" i="3" a="1"/>
  <c r="B624" i="3" a="1"/>
  <c r="B919" i="3" a="1"/>
  <c r="B815" i="3" a="1"/>
  <c r="B743" i="3" a="1"/>
  <c r="B679" i="3" a="1"/>
  <c r="B542" i="3" a="1"/>
  <c r="B479" i="3" a="1"/>
  <c r="B447" i="3" a="1"/>
  <c r="B415" i="3" a="1"/>
  <c r="B1076" i="3" a="1"/>
  <c r="B745" i="3" a="1"/>
  <c r="B635" i="3" a="1"/>
  <c r="B515" i="3" a="1"/>
  <c r="B544" i="3" a="1"/>
  <c r="B825" i="3" a="1"/>
  <c r="B680" i="3" a="1"/>
  <c r="B823" i="3" a="1"/>
  <c r="B474" i="3" a="1"/>
  <c r="B390" i="3" a="1"/>
  <c r="B980" i="3" a="1"/>
  <c r="B621" i="3" a="1"/>
  <c r="B344" i="3" a="1"/>
  <c r="B524" i="3" a="1"/>
  <c r="B128" i="3" a="1"/>
  <c r="B464" i="3" a="1"/>
  <c r="B768" i="3" a="1"/>
  <c r="B362" i="3" a="1"/>
  <c r="B296" i="3" a="1"/>
  <c r="B264" i="3" a="1"/>
  <c r="B232" i="3" a="1"/>
  <c r="B194" i="3" a="1"/>
  <c r="B138" i="3" a="1"/>
  <c r="B500" i="3" a="1"/>
  <c r="B342" i="3" a="1"/>
  <c r="B271" i="3" a="1"/>
  <c r="B641" i="3" a="1"/>
  <c r="B301" i="3" a="1"/>
  <c r="B237" i="3" a="1"/>
  <c r="B173" i="3" a="1"/>
  <c r="B101" i="3" a="1"/>
  <c r="B175" i="3" a="1"/>
  <c r="B375" i="3" a="1"/>
  <c r="B559" i="3" a="1"/>
  <c r="B366" i="3" a="1"/>
  <c r="B816" i="3" a="1"/>
  <c r="B1024" i="3" a="1"/>
  <c r="B1050" i="3" a="1"/>
  <c r="B986" i="3" a="1"/>
  <c r="B1041" i="3" a="1"/>
  <c r="B921" i="3" a="1"/>
  <c r="B966" i="3" a="1"/>
  <c r="B1035" i="3" a="1"/>
  <c r="B902" i="3" a="1"/>
  <c r="B860" i="3" a="1"/>
  <c r="B828" i="3" a="1"/>
  <c r="B996" i="3" a="1"/>
  <c r="B786" i="3" a="1"/>
  <c r="B722" i="3" a="1"/>
  <c r="B658" i="3" a="1"/>
  <c r="B622" i="3" a="1"/>
  <c r="B962" i="3" a="1"/>
  <c r="B903" i="3" a="1"/>
  <c r="B804" i="3" a="1"/>
  <c r="B740" i="3" a="1"/>
  <c r="B676" i="3" a="1"/>
  <c r="B509" i="3" a="1"/>
  <c r="B477" i="3" a="1"/>
  <c r="B445" i="3" a="1"/>
  <c r="B409" i="3" a="1"/>
  <c r="B1033" i="3" a="1"/>
  <c r="B734" i="3" a="1"/>
  <c r="B611" i="3" a="1"/>
  <c r="B536" i="3" a="1"/>
  <c r="B776" i="3" a="1"/>
  <c r="B597" i="3" a="1"/>
  <c r="B546" i="3" a="1"/>
  <c r="B450" i="3" a="1"/>
  <c r="B386" i="3" a="1"/>
  <c r="B933" i="3" a="1"/>
  <c r="B599" i="3" a="1"/>
  <c r="B339" i="3" a="1"/>
  <c r="B200" i="3" a="1"/>
  <c r="B124" i="3" a="1"/>
  <c r="B416" i="3" a="1"/>
  <c r="B704" i="3" a="1"/>
  <c r="B346" i="3" a="1"/>
  <c r="B294" i="3" a="1"/>
  <c r="B262" i="3" a="1"/>
  <c r="B230" i="3" a="1"/>
  <c r="B192" i="3" a="1"/>
  <c r="B134" i="3" a="1"/>
  <c r="B488" i="3" a="1"/>
  <c r="B97" i="3" a="1"/>
  <c r="B259" i="3" a="1"/>
  <c r="B543" i="3" a="1"/>
  <c r="B297" i="3" a="1"/>
  <c r="B233" i="3" a="1"/>
  <c r="B169" i="3" a="1"/>
  <c r="B785" i="3" a="1"/>
  <c r="B107" i="3" a="1"/>
  <c r="B521" i="3" a="1"/>
  <c r="B364" i="3" a="1"/>
  <c r="B311" i="3" a="1"/>
  <c r="B753" i="3" a="1"/>
  <c r="B1064" i="3" a="1"/>
  <c r="B1008" i="3" a="1"/>
  <c r="B970" i="3" a="1"/>
  <c r="B1079" i="3" a="1"/>
  <c r="B1023" i="3" a="1"/>
  <c r="B978" i="3" a="1"/>
  <c r="B1057" i="3" a="1"/>
  <c r="B973" i="3" a="1"/>
  <c r="B910" i="3" a="1"/>
  <c r="B987" i="3" a="1"/>
  <c r="B900" i="3" a="1"/>
  <c r="B872" i="3" a="1"/>
  <c r="B844" i="3" a="1"/>
  <c r="B822" i="3" a="1"/>
  <c r="B985" i="3" a="1"/>
  <c r="B810" i="3" a="1"/>
  <c r="B754" i="3" a="1"/>
  <c r="B698" i="3" a="1"/>
  <c r="B656" i="3" a="1"/>
  <c r="B628" i="3" a="1"/>
  <c r="B606" i="3" a="1"/>
  <c r="B1059" i="3" a="1"/>
  <c r="B895" i="3" a="1"/>
  <c r="B812" i="3" a="1"/>
  <c r="B756" i="3" a="1"/>
  <c r="B711" i="3" a="1"/>
  <c r="B960" i="3" a="1"/>
  <c r="B534" i="3" a="1"/>
  <c r="B491" i="3" a="1"/>
  <c r="B463" i="3" a="1"/>
  <c r="B441" i="3" a="1"/>
  <c r="B413" i="3" a="1"/>
  <c r="B391" i="3" a="1"/>
  <c r="B809" i="3" a="1"/>
  <c r="B697" i="3" a="1"/>
  <c r="B631" i="3" a="1"/>
  <c r="B539" i="3" a="1"/>
  <c r="B603" i="3" a="1"/>
  <c r="B1011" i="3" a="1"/>
  <c r="B819" i="3" a="1"/>
  <c r="B707" i="3" a="1"/>
  <c r="B565" i="3" a="1"/>
  <c r="B514" i="3" a="1"/>
  <c r="B458" i="3" a="1"/>
  <c r="B414" i="3" a="1"/>
  <c r="B460" i="3" a="1"/>
  <c r="B790" i="3" a="1"/>
  <c r="B613" i="3" a="1"/>
  <c r="B355" i="3" a="1"/>
  <c r="B164" i="3" a="1"/>
  <c r="B122" i="3" a="1"/>
  <c r="B492" i="3" a="1"/>
  <c r="B861" i="3" a="1"/>
  <c r="B593" i="3" a="1"/>
  <c r="B341" i="3" a="1"/>
  <c r="B306" i="3" a="1"/>
  <c r="B278" i="3" a="1"/>
  <c r="B250" i="3" a="1"/>
  <c r="B228" i="3" a="1"/>
  <c r="B198" i="3" a="1"/>
  <c r="B166" i="3" a="1"/>
  <c r="B108" i="3" a="1"/>
  <c r="B444" i="3" a="1"/>
  <c r="B667" i="3" a="1"/>
  <c r="B359" i="3" a="1"/>
  <c r="B211" i="3" a="1"/>
  <c r="B516" i="3" a="1"/>
  <c r="B309" i="3" a="1"/>
  <c r="B265" i="3" a="1"/>
  <c r="B209" i="3" a="1"/>
  <c r="B165" i="3" a="1"/>
  <c r="B109" i="3" a="1"/>
  <c r="B235" i="3" a="1"/>
  <c r="B885" i="3" a="1"/>
  <c r="B372" i="3" a="1"/>
  <c r="B155" i="3" a="1"/>
  <c r="B367" i="3" a="1"/>
  <c r="B199" i="3" a="1"/>
  <c r="B343" i="3" a="1"/>
  <c r="B1061" i="3" a="1"/>
  <c r="B1005" i="3" a="1"/>
  <c r="B1074" i="3" a="1"/>
  <c r="B1018" i="3" a="1"/>
  <c r="B940" i="3" a="1"/>
  <c r="B1052" i="3" a="1"/>
  <c r="B945" i="3" a="1"/>
  <c r="B982" i="3" a="1"/>
  <c r="B892" i="3" a="1"/>
  <c r="B870" i="3" a="1"/>
  <c r="B842" i="3" a="1"/>
  <c r="B968" i="3" a="1"/>
  <c r="B975" i="3" a="1"/>
  <c r="B794" i="3" a="1"/>
  <c r="B749" i="3" a="1"/>
  <c r="B693" i="3" a="1"/>
  <c r="B654" i="3" a="1"/>
  <c r="B626" i="3" a="1"/>
  <c r="B1038" i="3" a="1"/>
  <c r="B879" i="3" a="1"/>
  <c r="B807" i="3" a="1"/>
  <c r="B751" i="3" a="1"/>
  <c r="B708" i="3" a="1"/>
  <c r="B928" i="3" a="1"/>
  <c r="B511" i="3" a="1"/>
  <c r="B489" i="3" a="1"/>
  <c r="B461" i="3" a="1"/>
  <c r="B439" i="3" a="1"/>
  <c r="B411" i="3" a="1"/>
  <c r="B383" i="3" a="1"/>
  <c r="B798" i="3" a="1"/>
  <c r="B686" i="3" a="1"/>
  <c r="B627" i="3" a="1"/>
  <c r="B531" i="3" a="1"/>
  <c r="B600" i="3" a="1"/>
  <c r="B990" i="3" a="1"/>
  <c r="B808" i="3" a="1"/>
  <c r="B696" i="3" a="1"/>
  <c r="B533" i="3" a="1"/>
  <c r="B510" i="3" a="1"/>
  <c r="B454" i="3" a="1"/>
  <c r="B410" i="3" a="1"/>
  <c r="B448" i="3" a="1"/>
  <c r="B726" i="3" a="1"/>
  <c r="B605" i="3" a="1"/>
  <c r="B352" i="3" a="1"/>
  <c r="B954" i="3" a="1"/>
  <c r="B160" i="3" a="1"/>
  <c r="B106" i="3" a="1"/>
  <c r="B480" i="3" a="1"/>
  <c r="B811" i="3" a="1"/>
  <c r="B577" i="3" a="1"/>
  <c r="B338" i="3" a="1"/>
  <c r="B298" i="3" a="1"/>
  <c r="B276" i="3" a="1"/>
  <c r="B248" i="3" a="1"/>
  <c r="B226" i="3" a="1"/>
  <c r="B196" i="3" a="1"/>
  <c r="B150" i="3" a="1"/>
  <c r="B104" i="3" a="1"/>
  <c r="B432" i="3" a="1"/>
  <c r="B617" i="3" a="1"/>
  <c r="B763" i="3" a="1"/>
  <c r="B147" i="3" a="1"/>
  <c r="B356" i="3" a="1"/>
  <c r="B305" i="3" a="1"/>
  <c r="B261" i="3" a="1"/>
  <c r="B205" i="3" a="1"/>
  <c r="B149" i="3" a="1"/>
  <c r="B105" i="3" a="1"/>
  <c r="B223" i="3" a="1"/>
  <c r="B319" i="3" a="1"/>
  <c r="B345" i="3" a="1"/>
  <c r="B87" i="3" a="1"/>
  <c r="B361" i="3" a="1"/>
  <c r="B183" i="3" a="1"/>
  <c r="B806" i="3" a="1"/>
  <c r="B1085" i="3" a="1"/>
  <c r="B1053" i="3" a="1"/>
  <c r="B1021" i="3" a="1"/>
  <c r="B989" i="3" a="1"/>
  <c r="B1071" i="3" a="1"/>
  <c r="B1039" i="3" a="1"/>
  <c r="B1007" i="3" a="1"/>
  <c r="B964" i="3" a="1"/>
  <c r="B1025" i="3" a="1"/>
  <c r="B969" i="3" a="1"/>
  <c r="B905" i="3" a="1"/>
  <c r="B958" i="3" a="1"/>
  <c r="B1083" i="3" a="1"/>
  <c r="B1019" i="3" a="1"/>
  <c r="B947" i="3" a="1"/>
  <c r="B898" i="3" a="1"/>
  <c r="B882" i="3" a="1"/>
  <c r="B866" i="3" a="1"/>
  <c r="B850" i="3" a="1"/>
  <c r="B834" i="3" a="1"/>
  <c r="B952" i="3" a="1"/>
  <c r="B1049" i="3" a="1"/>
  <c r="B925" i="3" a="1"/>
  <c r="B805" i="3" a="1"/>
  <c r="B773" i="3" a="1"/>
  <c r="B741" i="3" a="1"/>
  <c r="B709" i="3" a="1"/>
  <c r="B677" i="3" a="1"/>
  <c r="B652" i="3" a="1"/>
  <c r="B636" i="3" a="1"/>
  <c r="B620" i="3" a="1"/>
  <c r="B604" i="3" a="1"/>
  <c r="B914" i="3" a="1"/>
  <c r="B995" i="3" a="1"/>
  <c r="B891" i="3" a="1"/>
  <c r="B859" i="3" a="1"/>
  <c r="B799" i="3" a="1"/>
  <c r="B767" i="3" a="1"/>
  <c r="B735" i="3" a="1"/>
  <c r="B703" i="3" a="1"/>
  <c r="B671" i="3" a="1"/>
  <c r="B590" i="3" a="1"/>
  <c r="B526" i="3" a="1"/>
  <c r="B501" i="3" a="1"/>
  <c r="B485" i="3" a="1"/>
  <c r="B469" i="3" a="1"/>
  <c r="B453" i="3" a="1"/>
  <c r="B437" i="3" a="1"/>
  <c r="B421" i="3" a="1"/>
  <c r="B405" i="3" a="1"/>
  <c r="B389" i="3" a="1"/>
  <c r="B971" i="3" a="1"/>
  <c r="B782" i="3" a="1"/>
  <c r="B718" i="3" a="1"/>
  <c r="B655" i="3" a="1"/>
  <c r="B623" i="3" a="1"/>
  <c r="B571" i="3" a="1"/>
  <c r="B584" i="3" a="1"/>
  <c r="B520" i="3" a="1"/>
  <c r="B889" i="3" a="1"/>
  <c r="B803" i="3" a="1"/>
  <c r="B739" i="3" a="1"/>
  <c r="B675" i="3" a="1"/>
  <c r="B557" i="3" a="1"/>
  <c r="B594" i="3" a="1"/>
  <c r="B502" i="3" a="1"/>
  <c r="B470" i="3" a="1"/>
  <c r="B438" i="3" a="1"/>
  <c r="B406" i="3" a="1"/>
  <c r="B512" i="3" a="1"/>
  <c r="B412" i="3" a="1"/>
  <c r="B769" i="3" a="1"/>
  <c r="B653" i="3" a="1"/>
  <c r="B583" i="3" a="1"/>
  <c r="B368" i="3" a="1"/>
  <c r="B336" i="3" a="1"/>
  <c r="B835" i="3" a="1"/>
  <c r="B180" i="3" a="1"/>
  <c r="B148" i="3" a="1"/>
  <c r="B118" i="3" a="1"/>
  <c r="B944" i="3" a="1"/>
  <c r="B452" i="3" a="1"/>
  <c r="B911" i="3" a="1"/>
  <c r="B747" i="3" a="1"/>
  <c r="B561" i="3" a="1"/>
  <c r="B357" i="3" a="1"/>
  <c r="B325" i="3" a="1"/>
  <c r="B304" i="3" a="1"/>
  <c r="B288" i="3" a="1"/>
  <c r="B272" i="3" a="1"/>
  <c r="B256" i="3" a="1"/>
  <c r="B240" i="3" a="1"/>
  <c r="B224" i="3" a="1"/>
  <c r="B208" i="3" a="1"/>
  <c r="B190" i="3" a="1"/>
  <c r="B162" i="3" a="1"/>
  <c r="B130" i="3" a="1"/>
  <c r="B98" i="3" a="1"/>
  <c r="B476" i="3" a="1"/>
  <c r="B384" i="3" a="1"/>
  <c r="B601" i="3" a="1"/>
  <c r="B649" i="3" a="1"/>
  <c r="B326" i="3" a="1"/>
  <c r="B191" i="3" a="1"/>
  <c r="B532" i="3" a="1"/>
  <c r="B829" i="3" a="1"/>
  <c r="B329" i="3" a="1"/>
  <c r="B289" i="3" a="1"/>
  <c r="B257" i="3" a="1"/>
  <c r="B225" i="3" a="1"/>
  <c r="B193" i="3" a="1"/>
  <c r="B161" i="3" a="1"/>
  <c r="B129" i="3" a="1"/>
  <c r="B93" i="3" a="1"/>
  <c r="B279" i="3" a="1"/>
  <c r="B159" i="3" a="1"/>
  <c r="B1086" i="3" a="1"/>
  <c r="B369" i="3" a="1"/>
  <c r="B263" i="3" a="1"/>
  <c r="B139" i="3" a="1"/>
  <c r="B1044" i="3" a="1"/>
  <c r="B327" i="3" a="1"/>
  <c r="B255" i="3" a="1"/>
  <c r="B131" i="3" a="1"/>
  <c r="B784" i="3" a="1"/>
  <c r="B1080" i="3" a="1"/>
  <c r="B1048" i="3" a="1"/>
  <c r="B1016" i="3" a="1"/>
  <c r="B984" i="3" a="1"/>
  <c r="B1066" i="3" a="1"/>
  <c r="B1034" i="3" a="1"/>
  <c r="B1002" i="3" a="1"/>
  <c r="B956" i="3" a="1"/>
  <c r="B1084" i="3" a="1"/>
  <c r="B1020" i="3" a="1"/>
  <c r="B961" i="3" a="1"/>
  <c r="B950" i="3" a="1"/>
  <c r="B1078" i="3" a="1"/>
  <c r="B1014" i="3" a="1"/>
  <c r="B939" i="3" a="1"/>
  <c r="B896" i="3" a="1"/>
  <c r="B880" i="3" a="1"/>
  <c r="B864" i="3" a="1"/>
  <c r="B848" i="3" a="1"/>
  <c r="B832" i="3" a="1"/>
  <c r="B936" i="3" a="1"/>
  <c r="B1028" i="3" a="1"/>
  <c r="B909" i="3" a="1"/>
  <c r="B802" i="3" a="1"/>
  <c r="B770" i="3" a="1"/>
  <c r="B738" i="3" a="1"/>
  <c r="B706" i="3" a="1"/>
  <c r="B674" i="3" a="1"/>
  <c r="B650" i="3" a="1"/>
  <c r="B634" i="3" a="1"/>
  <c r="B618" i="3" a="1"/>
  <c r="B602" i="3" a="1"/>
  <c r="B843" i="3" a="1"/>
  <c r="B967" i="3" a="1"/>
  <c r="B887" i="3" a="1"/>
  <c r="B849" i="3" a="1"/>
  <c r="B796" i="3" a="1"/>
  <c r="B764" i="3" a="1"/>
  <c r="B732" i="3" a="1"/>
  <c r="B700" i="3" a="1"/>
  <c r="B668" i="3" a="1"/>
  <c r="B582" i="3" a="1"/>
  <c r="B518" i="3" a="1"/>
  <c r="B499" i="3" a="1"/>
  <c r="B483" i="3" a="1"/>
  <c r="B467" i="3" a="1"/>
  <c r="B451" i="3" a="1"/>
  <c r="B435" i="3" a="1"/>
  <c r="B419" i="3" a="1"/>
  <c r="B403" i="3" a="1"/>
  <c r="B387" i="3" a="1"/>
  <c r="B949" i="3" a="1"/>
  <c r="B777" i="3" a="1"/>
  <c r="B713" i="3" a="1"/>
  <c r="B651" i="3" a="1"/>
  <c r="B619" i="3" a="1"/>
  <c r="B563" i="3" a="1"/>
  <c r="B576" i="3" a="1"/>
  <c r="B1075" i="3" a="1"/>
  <c r="B881" i="3" a="1"/>
  <c r="B792" i="3" a="1"/>
  <c r="B728" i="3" a="1"/>
  <c r="B664" i="3" a="1"/>
  <c r="B549" i="3" a="1"/>
  <c r="B578" i="3" a="1"/>
  <c r="B498" i="3" a="1"/>
  <c r="B466" i="3" a="1"/>
  <c r="B434" i="3" a="1"/>
  <c r="B402" i="3" a="1"/>
  <c r="B496" i="3" a="1"/>
  <c r="B400" i="3" a="1"/>
  <c r="B758" i="3" a="1"/>
  <c r="B645" i="3" a="1"/>
  <c r="B567" i="3" a="1"/>
  <c r="B363" i="3" a="1"/>
  <c r="B331" i="3" a="1"/>
  <c r="B588" i="3" a="1"/>
  <c r="B176" i="3" a="1"/>
  <c r="B144" i="3" a="1"/>
  <c r="B114" i="3" a="1"/>
  <c r="B855" i="3" a="1"/>
  <c r="B440" i="3" a="1"/>
  <c r="B893" i="3" a="1"/>
  <c r="B736" i="3" a="1"/>
  <c r="B545" i="3" a="1"/>
  <c r="B354" i="3" a="1"/>
  <c r="B322" i="3" a="1"/>
  <c r="B302" i="3" a="1"/>
  <c r="B286" i="3" a="1"/>
  <c r="B270" i="3" a="1"/>
  <c r="B254" i="3" a="1"/>
  <c r="B238" i="3" a="1"/>
  <c r="B222" i="3" a="1"/>
  <c r="B206" i="3" a="1"/>
  <c r="B188" i="3" a="1"/>
  <c r="B158" i="3" a="1"/>
  <c r="B126" i="3" a="1"/>
  <c r="B94" i="3" a="1"/>
  <c r="B468" i="3" a="1"/>
  <c r="B922" i="3" a="1"/>
  <c r="B527" i="3" a="1"/>
  <c r="B591" i="3" a="1"/>
  <c r="B303" i="3" a="1"/>
  <c r="B179" i="3" a="1"/>
  <c r="B358" i="3" a="1"/>
  <c r="B742" i="3" a="1"/>
  <c r="B318" i="3" a="1"/>
  <c r="B285" i="3" a="1"/>
  <c r="B253" i="3" a="1"/>
  <c r="B221" i="3" a="1"/>
  <c r="B189" i="3" a="1"/>
  <c r="B157" i="3" a="1"/>
  <c r="B125" i="3" a="1"/>
  <c r="B374" i="3" a="1"/>
  <c r="B267" i="3" a="1"/>
  <c r="B135" i="3" a="1"/>
  <c r="B869" i="3" a="1"/>
  <c r="B380" i="3" a="1"/>
  <c r="B247" i="3" a="1"/>
  <c r="B119" i="3" a="1"/>
  <c r="B678" i="3" a="1"/>
  <c r="B316" i="3" a="1"/>
  <c r="B239" i="3" a="1"/>
  <c r="B115" i="3" a="1"/>
  <c r="B699" i="3" a="1"/>
  <c r="B1077" i="3" a="1"/>
  <c r="B1045" i="3" a="1"/>
  <c r="B1013" i="3" a="1"/>
  <c r="B981" i="3" a="1"/>
  <c r="B1063" i="3" a="1"/>
  <c r="B1031" i="3" a="1"/>
  <c r="B999" i="3" a="1"/>
  <c r="B948" i="3" a="1"/>
  <c r="B1073" i="3" a="1"/>
  <c r="B1009" i="3" a="1"/>
  <c r="B953" i="3" a="1"/>
  <c r="B942" i="3" a="1"/>
  <c r="B1067" i="3" a="1"/>
  <c r="B1003" i="3" a="1"/>
  <c r="B931" i="3" a="1"/>
  <c r="B894" i="3" a="1"/>
  <c r="B878" i="3" a="1"/>
  <c r="B862" i="3" a="1"/>
  <c r="B846" i="3" a="1"/>
  <c r="B830" i="3" a="1"/>
  <c r="B920" i="3" a="1"/>
  <c r="B1017" i="3" a="1"/>
  <c r="B853" i="3" a="1"/>
  <c r="B797" i="3" a="1"/>
  <c r="B765" i="3" a="1"/>
  <c r="B733" i="3" a="1"/>
  <c r="B701" i="3" a="1"/>
  <c r="B669" i="3" a="1"/>
  <c r="B648" i="3" a="1"/>
  <c r="B632" i="3" a="1"/>
  <c r="B616" i="3" a="1"/>
  <c r="B827" i="3" a="1"/>
  <c r="B951" i="3" a="1"/>
  <c r="B883" i="3" a="1"/>
  <c r="B833" i="3" a="1"/>
  <c r="B791" i="3" a="1"/>
  <c r="B759" i="3" a="1"/>
  <c r="B727" i="3" a="1"/>
  <c r="B695" i="3" a="1"/>
  <c r="B663" i="3" a="1"/>
  <c r="B574" i="3" a="1"/>
  <c r="B513" i="3" a="1"/>
  <c r="B497" i="3" a="1"/>
  <c r="B481" i="3" a="1"/>
  <c r="B465" i="3" a="1"/>
  <c r="B449" i="3" a="1"/>
  <c r="B433" i="3" a="1"/>
  <c r="B417" i="3" a="1"/>
  <c r="B401" i="3" a="1"/>
  <c r="B385" i="3" a="1"/>
  <c r="B917" i="3" a="1"/>
  <c r="B766" i="3" a="1"/>
  <c r="B702" i="3" a="1"/>
  <c r="B647" i="3" a="1"/>
  <c r="B615" i="3" a="1"/>
  <c r="B555" i="3" a="1"/>
  <c r="B938" i="3" a="1"/>
  <c r="B568" i="3" a="1"/>
  <c r="B1054" i="3" a="1"/>
  <c r="B873" i="3" a="1"/>
  <c r="B787" i="3" a="1"/>
  <c r="B723" i="3" a="1"/>
  <c r="B659" i="3" a="1"/>
  <c r="B541" i="3" a="1"/>
  <c r="B562" i="3" a="1"/>
  <c r="B494" i="3" a="1"/>
  <c r="B462" i="3" a="1"/>
  <c r="B430" i="3" a="1"/>
  <c r="B398" i="3" a="1"/>
  <c r="B484" i="3" a="1"/>
  <c r="B388" i="3" a="1"/>
  <c r="B737" i="3" a="1"/>
  <c r="B637" i="3" a="1"/>
  <c r="B551" i="3" a="1"/>
  <c r="B360" i="3" a="1"/>
  <c r="B328" i="3" a="1"/>
  <c r="B572" i="3" a="1"/>
  <c r="B172" i="3" a="1"/>
  <c r="B140" i="3" a="1"/>
  <c r="B110" i="3" a="1"/>
  <c r="B570" i="3" a="1"/>
  <c r="B428" i="3" a="1"/>
  <c r="B877" i="3" a="1"/>
  <c r="B715" i="3" a="1"/>
  <c r="B529" i="3" a="1"/>
  <c r="B349" i="3" a="1"/>
  <c r="B317" i="3" a="1"/>
  <c r="B300" i="3" a="1"/>
  <c r="B284" i="3" a="1"/>
  <c r="B268" i="3" a="1"/>
  <c r="B252" i="3" a="1"/>
  <c r="B236" i="3" a="1"/>
  <c r="B220" i="3" a="1"/>
  <c r="B204" i="3" a="1"/>
  <c r="B186" i="3" a="1"/>
  <c r="B154" i="3" a="1"/>
  <c r="B120" i="3" a="1"/>
  <c r="B90" i="3" a="1"/>
  <c r="B456" i="3" a="1"/>
  <c r="B841" i="3" a="1"/>
  <c r="B348" i="3" a="1"/>
  <c r="B564" i="3" a="1"/>
  <c r="B287" i="3" a="1"/>
  <c r="B163" i="3" a="1"/>
  <c r="B721" i="3" a="1"/>
  <c r="B720" i="3" a="1"/>
  <c r="B313" i="3" a="1"/>
  <c r="B281" i="3" a="1"/>
  <c r="B249" i="3" a="1"/>
  <c r="B217" i="3" a="1"/>
  <c r="B185" i="3" a="1"/>
  <c r="B153" i="3" a="1"/>
  <c r="B121" i="3" a="1"/>
  <c r="B1043" i="3" a="1"/>
  <c r="B251" i="3" a="1"/>
  <c r="B123" i="3" a="1"/>
  <c r="B710" i="3" a="1"/>
  <c r="B625" i="3" a="1"/>
  <c r="B231" i="3" a="1"/>
  <c r="B103" i="3" a="1"/>
  <c r="B609" i="3" a="1"/>
  <c r="B901" i="3" a="1"/>
  <c r="B219" i="3" a="1"/>
  <c r="B99" i="3" a="1"/>
  <c r="B350" i="3" a="1"/>
  <c r="D64" i="4" l="1"/>
  <c r="D84" i="4"/>
  <c r="D58" i="4"/>
  <c r="E12" i="4"/>
  <c r="D53" i="4"/>
  <c r="D69" i="4"/>
  <c r="D85" i="4"/>
  <c r="D38" i="4"/>
  <c r="D70" i="4"/>
  <c r="D59" i="4"/>
  <c r="D52" i="4"/>
  <c r="D74" i="4"/>
  <c r="D61" i="4"/>
  <c r="D60" i="4"/>
  <c r="D78" i="4"/>
  <c r="D63" i="4"/>
  <c r="D79" i="4"/>
  <c r="D68" i="4"/>
  <c r="D82" i="4"/>
  <c r="D65" i="4"/>
  <c r="D80" i="4"/>
  <c r="G12" i="4"/>
  <c r="D62" i="4"/>
  <c r="D39" i="4"/>
  <c r="D55" i="4"/>
  <c r="D71" i="4"/>
  <c r="D87" i="4"/>
  <c r="F12" i="4"/>
  <c r="D12" i="4"/>
  <c r="D66" i="4"/>
  <c r="D41" i="4"/>
  <c r="D57" i="4"/>
  <c r="D73" i="4"/>
  <c r="D44" i="4"/>
  <c r="D43" i="4"/>
  <c r="D75" i="4"/>
  <c r="D56" i="4"/>
  <c r="D42" i="4"/>
  <c r="D45" i="4"/>
  <c r="D77" i="4"/>
  <c r="D40" i="4"/>
  <c r="D46" i="4"/>
  <c r="D47" i="4"/>
  <c r="D72" i="4"/>
  <c r="D50" i="4"/>
  <c r="D49" i="4"/>
  <c r="D51" i="4"/>
  <c r="D83" i="4"/>
  <c r="D76" i="4"/>
  <c r="D67" i="4"/>
  <c r="D81" i="4"/>
  <c r="D48" i="4"/>
  <c r="D54" i="4"/>
  <c r="D86" i="4"/>
  <c r="B350" i="3"/>
  <c r="B99" i="3"/>
  <c r="B219" i="3"/>
  <c r="B901" i="3"/>
  <c r="B609" i="3"/>
  <c r="B103" i="3"/>
  <c r="B231" i="3"/>
  <c r="B625" i="3"/>
  <c r="B710" i="3"/>
  <c r="B123" i="3"/>
  <c r="B251" i="3"/>
  <c r="B1043" i="3"/>
  <c r="B121" i="3"/>
  <c r="B153" i="3"/>
  <c r="B185" i="3"/>
  <c r="B217" i="3"/>
  <c r="B249" i="3"/>
  <c r="B281" i="3"/>
  <c r="B313" i="3"/>
  <c r="B720" i="3"/>
  <c r="B721" i="3"/>
  <c r="B163" i="3"/>
  <c r="B287" i="3"/>
  <c r="B564" i="3"/>
  <c r="B348" i="3"/>
  <c r="B841" i="3"/>
  <c r="B456" i="3"/>
  <c r="B90" i="3"/>
  <c r="B120" i="3"/>
  <c r="B154" i="3"/>
  <c r="B186" i="3"/>
  <c r="B204" i="3"/>
  <c r="B220" i="3"/>
  <c r="B236" i="3"/>
  <c r="B252" i="3"/>
  <c r="B268" i="3"/>
  <c r="B284" i="3"/>
  <c r="B300" i="3"/>
  <c r="B317" i="3"/>
  <c r="B349" i="3"/>
  <c r="B529" i="3"/>
  <c r="B715" i="3"/>
  <c r="B877" i="3"/>
  <c r="B428" i="3"/>
  <c r="B570" i="3"/>
  <c r="B110" i="3"/>
  <c r="B140" i="3"/>
  <c r="B172" i="3"/>
  <c r="B572" i="3"/>
  <c r="B328" i="3"/>
  <c r="B360" i="3"/>
  <c r="B551" i="3"/>
  <c r="B637" i="3"/>
  <c r="B737" i="3"/>
  <c r="B388" i="3"/>
  <c r="B484" i="3"/>
  <c r="B398" i="3"/>
  <c r="B430" i="3"/>
  <c r="B462" i="3"/>
  <c r="B494" i="3"/>
  <c r="B562" i="3"/>
  <c r="B541" i="3"/>
  <c r="B659" i="3"/>
  <c r="B723" i="3"/>
  <c r="B787" i="3"/>
  <c r="B873" i="3"/>
  <c r="B1054" i="3"/>
  <c r="B568" i="3"/>
  <c r="B938" i="3"/>
  <c r="B555" i="3"/>
  <c r="B615" i="3"/>
  <c r="B647" i="3"/>
  <c r="B702" i="3"/>
  <c r="B766" i="3"/>
  <c r="B917" i="3"/>
  <c r="B385" i="3"/>
  <c r="B401" i="3"/>
  <c r="B417" i="3"/>
  <c r="B433" i="3"/>
  <c r="B449" i="3"/>
  <c r="B465" i="3"/>
  <c r="B481" i="3"/>
  <c r="B497" i="3"/>
  <c r="B513" i="3"/>
  <c r="B574" i="3"/>
  <c r="B663" i="3"/>
  <c r="B695" i="3"/>
  <c r="B727" i="3"/>
  <c r="B759" i="3"/>
  <c r="B791" i="3"/>
  <c r="B833" i="3"/>
  <c r="B883" i="3"/>
  <c r="B951" i="3"/>
  <c r="B827" i="3"/>
  <c r="B616" i="3"/>
  <c r="B632" i="3"/>
  <c r="B648" i="3"/>
  <c r="B669" i="3"/>
  <c r="B701" i="3"/>
  <c r="B733" i="3"/>
  <c r="B765" i="3"/>
  <c r="B797" i="3"/>
  <c r="B853" i="3"/>
  <c r="B1017" i="3"/>
  <c r="B920" i="3"/>
  <c r="B830" i="3"/>
  <c r="B846" i="3"/>
  <c r="B862" i="3"/>
  <c r="B878" i="3"/>
  <c r="B894" i="3"/>
  <c r="B931" i="3"/>
  <c r="B1003" i="3"/>
  <c r="B1067" i="3"/>
  <c r="B942" i="3"/>
  <c r="B953" i="3"/>
  <c r="B1009" i="3"/>
  <c r="B1073" i="3"/>
  <c r="B948" i="3"/>
  <c r="B999" i="3"/>
  <c r="B1031" i="3"/>
  <c r="B1063" i="3"/>
  <c r="B981" i="3"/>
  <c r="B1013" i="3"/>
  <c r="B1045" i="3"/>
  <c r="B1077" i="3"/>
  <c r="B699" i="3"/>
  <c r="B115" i="3"/>
  <c r="B239" i="3"/>
  <c r="B316" i="3"/>
  <c r="B678" i="3"/>
  <c r="B119" i="3"/>
  <c r="B247" i="3"/>
  <c r="B380" i="3"/>
  <c r="B869" i="3"/>
  <c r="B135" i="3"/>
  <c r="B267" i="3"/>
  <c r="B374" i="3"/>
  <c r="B125" i="3"/>
  <c r="B157" i="3"/>
  <c r="B189" i="3"/>
  <c r="B221" i="3"/>
  <c r="B253" i="3"/>
  <c r="B285" i="3"/>
  <c r="B318" i="3"/>
  <c r="B742" i="3"/>
  <c r="B358" i="3"/>
  <c r="B179" i="3"/>
  <c r="B303" i="3"/>
  <c r="B591" i="3"/>
  <c r="B527" i="3"/>
  <c r="B922" i="3"/>
  <c r="B468" i="3"/>
  <c r="B94" i="3"/>
  <c r="B126" i="3"/>
  <c r="B158" i="3"/>
  <c r="B188" i="3"/>
  <c r="B206" i="3"/>
  <c r="B222" i="3"/>
  <c r="B238" i="3"/>
  <c r="B254" i="3"/>
  <c r="B270" i="3"/>
  <c r="B286" i="3"/>
  <c r="B302" i="3"/>
  <c r="B322" i="3"/>
  <c r="B354" i="3"/>
  <c r="B545" i="3"/>
  <c r="B736" i="3"/>
  <c r="B893" i="3"/>
  <c r="B440" i="3"/>
  <c r="B855" i="3"/>
  <c r="B114" i="3"/>
  <c r="B144" i="3"/>
  <c r="B176" i="3"/>
  <c r="B588" i="3"/>
  <c r="B331" i="3"/>
  <c r="B363" i="3"/>
  <c r="B567" i="3"/>
  <c r="B645" i="3"/>
  <c r="B758" i="3"/>
  <c r="B400" i="3"/>
  <c r="B496" i="3"/>
  <c r="B402" i="3"/>
  <c r="B434" i="3"/>
  <c r="B466" i="3"/>
  <c r="B498" i="3"/>
  <c r="B578" i="3"/>
  <c r="B549" i="3"/>
  <c r="B664" i="3"/>
  <c r="B728" i="3"/>
  <c r="B792" i="3"/>
  <c r="B881" i="3"/>
  <c r="B1075" i="3"/>
  <c r="B576" i="3"/>
  <c r="B563" i="3"/>
  <c r="B619" i="3"/>
  <c r="B651" i="3"/>
  <c r="B713" i="3"/>
  <c r="B777" i="3"/>
  <c r="B949" i="3"/>
  <c r="B387" i="3"/>
  <c r="B403" i="3"/>
  <c r="B419" i="3"/>
  <c r="B435" i="3"/>
  <c r="B451" i="3"/>
  <c r="B467" i="3"/>
  <c r="B483" i="3"/>
  <c r="B499" i="3"/>
  <c r="B518" i="3"/>
  <c r="B582" i="3"/>
  <c r="B668" i="3"/>
  <c r="B700" i="3"/>
  <c r="B732" i="3"/>
  <c r="B764" i="3"/>
  <c r="B796" i="3"/>
  <c r="B849" i="3"/>
  <c r="B887" i="3"/>
  <c r="B967" i="3"/>
  <c r="B843" i="3"/>
  <c r="B602" i="3"/>
  <c r="B618" i="3"/>
  <c r="B634" i="3"/>
  <c r="B650" i="3"/>
  <c r="B674" i="3"/>
  <c r="B706" i="3"/>
  <c r="B738" i="3"/>
  <c r="B770" i="3"/>
  <c r="B802" i="3"/>
  <c r="B909" i="3"/>
  <c r="B1028" i="3"/>
  <c r="B936" i="3"/>
  <c r="B832" i="3"/>
  <c r="B848" i="3"/>
  <c r="B864" i="3"/>
  <c r="B880" i="3"/>
  <c r="B896" i="3"/>
  <c r="B939" i="3"/>
  <c r="B1014" i="3"/>
  <c r="B1078" i="3"/>
  <c r="B950" i="3"/>
  <c r="B961" i="3"/>
  <c r="B1020" i="3"/>
  <c r="B1084" i="3"/>
  <c r="B956" i="3"/>
  <c r="B1002" i="3"/>
  <c r="B1034" i="3"/>
  <c r="B1066" i="3"/>
  <c r="B984" i="3"/>
  <c r="B1016" i="3"/>
  <c r="B1048" i="3"/>
  <c r="B1080" i="3"/>
  <c r="B784" i="3"/>
  <c r="B131" i="3"/>
  <c r="B255" i="3"/>
  <c r="B327" i="3"/>
  <c r="B1044" i="3"/>
  <c r="B139" i="3"/>
  <c r="B263" i="3"/>
  <c r="B369" i="3"/>
  <c r="B1086" i="3"/>
  <c r="B159" i="3"/>
  <c r="B279" i="3"/>
  <c r="B93" i="3"/>
  <c r="B129" i="3"/>
  <c r="B161" i="3"/>
  <c r="B193" i="3"/>
  <c r="B225" i="3"/>
  <c r="B257" i="3"/>
  <c r="B289" i="3"/>
  <c r="B329" i="3"/>
  <c r="B829" i="3"/>
  <c r="B532" i="3"/>
  <c r="B191" i="3"/>
  <c r="B326" i="3"/>
  <c r="B649" i="3"/>
  <c r="B601" i="3"/>
  <c r="B384" i="3"/>
  <c r="B476" i="3"/>
  <c r="B98" i="3"/>
  <c r="B130" i="3"/>
  <c r="B162" i="3"/>
  <c r="B190" i="3"/>
  <c r="B208" i="3"/>
  <c r="B224" i="3"/>
  <c r="B240" i="3"/>
  <c r="B256" i="3"/>
  <c r="B272" i="3"/>
  <c r="B288" i="3"/>
  <c r="B304" i="3"/>
  <c r="B325" i="3"/>
  <c r="B357" i="3"/>
  <c r="B561" i="3"/>
  <c r="B747" i="3"/>
  <c r="B911" i="3"/>
  <c r="B452" i="3"/>
  <c r="B944" i="3"/>
  <c r="B118" i="3"/>
  <c r="B148" i="3"/>
  <c r="B180" i="3"/>
  <c r="B835" i="3"/>
  <c r="B336" i="3"/>
  <c r="B368" i="3"/>
  <c r="B583" i="3"/>
  <c r="B653" i="3"/>
  <c r="B769" i="3"/>
  <c r="B412" i="3"/>
  <c r="B512" i="3"/>
  <c r="B406" i="3"/>
  <c r="B438" i="3"/>
  <c r="B470" i="3"/>
  <c r="B502" i="3"/>
  <c r="B594" i="3"/>
  <c r="B557" i="3"/>
  <c r="B675" i="3"/>
  <c r="B739" i="3"/>
  <c r="B803" i="3"/>
  <c r="B889" i="3"/>
  <c r="B520" i="3"/>
  <c r="B584" i="3"/>
  <c r="B571" i="3"/>
  <c r="B623" i="3"/>
  <c r="B655" i="3"/>
  <c r="B718" i="3"/>
  <c r="B782" i="3"/>
  <c r="B971" i="3"/>
  <c r="B389" i="3"/>
  <c r="B405" i="3"/>
  <c r="B421" i="3"/>
  <c r="B437" i="3"/>
  <c r="B453" i="3"/>
  <c r="B469" i="3"/>
  <c r="B485" i="3"/>
  <c r="B501" i="3"/>
  <c r="B526" i="3"/>
  <c r="B590" i="3"/>
  <c r="B671" i="3"/>
  <c r="B703" i="3"/>
  <c r="B735" i="3"/>
  <c r="B767" i="3"/>
  <c r="B799" i="3"/>
  <c r="B859" i="3"/>
  <c r="B891" i="3"/>
  <c r="B995" i="3"/>
  <c r="B914" i="3"/>
  <c r="B604" i="3"/>
  <c r="B620" i="3"/>
  <c r="B636" i="3"/>
  <c r="B652" i="3"/>
  <c r="B677" i="3"/>
  <c r="B709" i="3"/>
  <c r="B741" i="3"/>
  <c r="B773" i="3"/>
  <c r="B805" i="3"/>
  <c r="B925" i="3"/>
  <c r="B1049" i="3"/>
  <c r="B952" i="3"/>
  <c r="B834" i="3"/>
  <c r="B850" i="3"/>
  <c r="B866" i="3"/>
  <c r="B882" i="3"/>
  <c r="B898" i="3"/>
  <c r="B947" i="3"/>
  <c r="B1019" i="3"/>
  <c r="B1083" i="3"/>
  <c r="B958" i="3"/>
  <c r="B905" i="3"/>
  <c r="B969" i="3"/>
  <c r="B1025" i="3"/>
  <c r="B964" i="3"/>
  <c r="B1007" i="3"/>
  <c r="B1039" i="3"/>
  <c r="B1071" i="3"/>
  <c r="B989" i="3"/>
  <c r="B1021" i="3"/>
  <c r="B1053" i="3"/>
  <c r="B1085" i="3"/>
  <c r="B806" i="3"/>
  <c r="B183" i="3"/>
  <c r="B361" i="3"/>
  <c r="B87" i="3"/>
  <c r="B345" i="3"/>
  <c r="B319" i="3"/>
  <c r="B223" i="3"/>
  <c r="B105" i="3"/>
  <c r="B149" i="3"/>
  <c r="B205" i="3"/>
  <c r="B261" i="3"/>
  <c r="B305" i="3"/>
  <c r="B356" i="3"/>
  <c r="B147" i="3"/>
  <c r="B763" i="3"/>
  <c r="B617" i="3"/>
  <c r="B432" i="3"/>
  <c r="B104" i="3"/>
  <c r="B150" i="3"/>
  <c r="B196" i="3"/>
  <c r="B226" i="3"/>
  <c r="B248" i="3"/>
  <c r="B276" i="3"/>
  <c r="B298" i="3"/>
  <c r="B338" i="3"/>
  <c r="B577" i="3"/>
  <c r="B811" i="3"/>
  <c r="B480" i="3"/>
  <c r="B106" i="3"/>
  <c r="B160" i="3"/>
  <c r="B954" i="3"/>
  <c r="B352" i="3"/>
  <c r="B605" i="3"/>
  <c r="B726" i="3"/>
  <c r="B448" i="3"/>
  <c r="B410" i="3"/>
  <c r="B454" i="3"/>
  <c r="B510" i="3"/>
  <c r="B533" i="3"/>
  <c r="B696" i="3"/>
  <c r="B808" i="3"/>
  <c r="B990" i="3"/>
  <c r="B600" i="3"/>
  <c r="B531" i="3"/>
  <c r="B627" i="3"/>
  <c r="B686" i="3"/>
  <c r="B798" i="3"/>
  <c r="B383" i="3"/>
  <c r="B411" i="3"/>
  <c r="B439" i="3"/>
  <c r="B461" i="3"/>
  <c r="B489" i="3"/>
  <c r="B511" i="3"/>
  <c r="B928" i="3"/>
  <c r="B708" i="3"/>
  <c r="B751" i="3"/>
  <c r="B807" i="3"/>
  <c r="B879" i="3"/>
  <c r="B1038" i="3"/>
  <c r="B626" i="3"/>
  <c r="B654" i="3"/>
  <c r="B693" i="3"/>
  <c r="B749" i="3"/>
  <c r="B794" i="3"/>
  <c r="B975" i="3"/>
  <c r="B968" i="3"/>
  <c r="B842" i="3"/>
  <c r="B870" i="3"/>
  <c r="B892" i="3"/>
  <c r="B982" i="3"/>
  <c r="B945" i="3"/>
  <c r="B1052" i="3"/>
  <c r="B940" i="3"/>
  <c r="B1018" i="3"/>
  <c r="B1074" i="3"/>
  <c r="B1005" i="3"/>
  <c r="B1061" i="3"/>
  <c r="B343" i="3"/>
  <c r="B199" i="3"/>
  <c r="B367" i="3"/>
  <c r="B155" i="3"/>
  <c r="B372" i="3"/>
  <c r="B885" i="3"/>
  <c r="B235" i="3"/>
  <c r="B109" i="3"/>
  <c r="B165" i="3"/>
  <c r="B209" i="3"/>
  <c r="B265" i="3"/>
  <c r="B309" i="3"/>
  <c r="B516" i="3"/>
  <c r="B211" i="3"/>
  <c r="B359" i="3"/>
  <c r="B667" i="3"/>
  <c r="B444" i="3"/>
  <c r="B108" i="3"/>
  <c r="B166" i="3"/>
  <c r="B198" i="3"/>
  <c r="B228" i="3"/>
  <c r="B250" i="3"/>
  <c r="B278" i="3"/>
  <c r="B306" i="3"/>
  <c r="B341" i="3"/>
  <c r="B593" i="3"/>
  <c r="B861" i="3"/>
  <c r="B492" i="3"/>
  <c r="B122" i="3"/>
  <c r="B164" i="3"/>
  <c r="B355" i="3"/>
  <c r="B613" i="3"/>
  <c r="B790" i="3"/>
  <c r="B460" i="3"/>
  <c r="B414" i="3"/>
  <c r="B458" i="3"/>
  <c r="B514" i="3"/>
  <c r="B565" i="3"/>
  <c r="B707" i="3"/>
  <c r="B819" i="3"/>
  <c r="B1011" i="3"/>
  <c r="B603" i="3"/>
  <c r="B539" i="3"/>
  <c r="B631" i="3"/>
  <c r="B697" i="3"/>
  <c r="B809" i="3"/>
  <c r="B391" i="3"/>
  <c r="B413" i="3"/>
  <c r="B441" i="3"/>
  <c r="B463" i="3"/>
  <c r="B491" i="3"/>
  <c r="B534" i="3"/>
  <c r="B960" i="3"/>
  <c r="B711" i="3"/>
  <c r="B756" i="3"/>
  <c r="B812" i="3"/>
  <c r="B895" i="3"/>
  <c r="B1059" i="3"/>
  <c r="B606" i="3"/>
  <c r="B628" i="3"/>
  <c r="B656" i="3"/>
  <c r="B698" i="3"/>
  <c r="B754" i="3"/>
  <c r="B810" i="3"/>
  <c r="B985" i="3"/>
  <c r="B822" i="3"/>
  <c r="B844" i="3"/>
  <c r="B872" i="3"/>
  <c r="B900" i="3"/>
  <c r="B987" i="3"/>
  <c r="B910" i="3"/>
  <c r="B973" i="3"/>
  <c r="B1057" i="3"/>
  <c r="B978" i="3"/>
  <c r="B1023" i="3"/>
  <c r="B1079" i="3"/>
  <c r="B970" i="3"/>
  <c r="B1008" i="3"/>
  <c r="B1064" i="3"/>
  <c r="B753" i="3"/>
  <c r="B311" i="3"/>
  <c r="B364" i="3"/>
  <c r="B521" i="3"/>
  <c r="B107" i="3"/>
  <c r="B785" i="3"/>
  <c r="B169" i="3"/>
  <c r="B233" i="3"/>
  <c r="B297" i="3"/>
  <c r="B543" i="3"/>
  <c r="B259" i="3"/>
  <c r="B97" i="3"/>
  <c r="B488" i="3"/>
  <c r="B134" i="3"/>
  <c r="B192" i="3"/>
  <c r="B230" i="3"/>
  <c r="B262" i="3"/>
  <c r="B294" i="3"/>
  <c r="B346" i="3"/>
  <c r="B704" i="3"/>
  <c r="B416" i="3"/>
  <c r="B124" i="3"/>
  <c r="B200" i="3"/>
  <c r="B339" i="3"/>
  <c r="B599" i="3"/>
  <c r="B933" i="3"/>
  <c r="B386" i="3"/>
  <c r="B450" i="3"/>
  <c r="B546" i="3"/>
  <c r="B597" i="3"/>
  <c r="B776" i="3"/>
  <c r="B536" i="3"/>
  <c r="B611" i="3"/>
  <c r="B734" i="3"/>
  <c r="B1033" i="3"/>
  <c r="B409" i="3"/>
  <c r="B445" i="3"/>
  <c r="B477" i="3"/>
  <c r="B509" i="3"/>
  <c r="B676" i="3"/>
  <c r="B740" i="3"/>
  <c r="B804" i="3"/>
  <c r="B903" i="3"/>
  <c r="B962" i="3"/>
  <c r="B622" i="3"/>
  <c r="B658" i="3"/>
  <c r="B722" i="3"/>
  <c r="B786" i="3"/>
  <c r="B996" i="3"/>
  <c r="B828" i="3"/>
  <c r="B860" i="3"/>
  <c r="B902" i="3"/>
  <c r="B1035" i="3"/>
  <c r="B966" i="3"/>
  <c r="B921" i="3"/>
  <c r="B1041" i="3"/>
  <c r="B986" i="3"/>
  <c r="B1050" i="3"/>
  <c r="B1024" i="3"/>
  <c r="B816" i="3"/>
  <c r="B366" i="3"/>
  <c r="B559" i="3"/>
  <c r="B375" i="3"/>
  <c r="B175" i="3"/>
  <c r="B101" i="3"/>
  <c r="B173" i="3"/>
  <c r="B237" i="3"/>
  <c r="B301" i="3"/>
  <c r="B641" i="3"/>
  <c r="B271" i="3"/>
  <c r="B342" i="3"/>
  <c r="B500" i="3"/>
  <c r="B138" i="3"/>
  <c r="B194" i="3"/>
  <c r="B232" i="3"/>
  <c r="B264" i="3"/>
  <c r="B296" i="3"/>
  <c r="B362" i="3"/>
  <c r="B768" i="3"/>
  <c r="B464" i="3"/>
  <c r="B128" i="3"/>
  <c r="B524" i="3"/>
  <c r="B344" i="3"/>
  <c r="B621" i="3"/>
  <c r="B980" i="3"/>
  <c r="B390" i="3"/>
  <c r="B474" i="3"/>
  <c r="B823" i="3"/>
  <c r="B680" i="3"/>
  <c r="B825" i="3"/>
  <c r="B544" i="3"/>
  <c r="B515" i="3"/>
  <c r="B635" i="3"/>
  <c r="B745" i="3"/>
  <c r="B1076" i="3"/>
  <c r="B415" i="3"/>
  <c r="B447" i="3"/>
  <c r="B479" i="3"/>
  <c r="B542" i="3"/>
  <c r="B679" i="3"/>
  <c r="B743" i="3"/>
  <c r="B815" i="3"/>
  <c r="B919" i="3"/>
  <c r="B624" i="3"/>
  <c r="B661" i="3"/>
  <c r="B725" i="3"/>
  <c r="B789" i="3"/>
  <c r="B1060" i="3"/>
  <c r="B836" i="3"/>
  <c r="B868" i="3"/>
  <c r="B907" i="3"/>
  <c r="B1046" i="3"/>
  <c r="B929" i="3"/>
  <c r="B1068" i="3"/>
  <c r="B991" i="3"/>
  <c r="B1055" i="3"/>
  <c r="B1029" i="3"/>
  <c r="B1001" i="3"/>
  <c r="B553" i="3"/>
  <c r="B283" i="3"/>
  <c r="B195" i="3"/>
  <c r="B133" i="3"/>
  <c r="B213" i="3"/>
  <c r="B334" i="3"/>
  <c r="B111" i="3"/>
  <c r="B817" i="3"/>
  <c r="B508" i="3"/>
  <c r="B170" i="3"/>
  <c r="B216" i="3"/>
  <c r="B266" i="3"/>
  <c r="B312" i="3"/>
  <c r="B672" i="3"/>
  <c r="B504" i="3"/>
  <c r="B152" i="3"/>
  <c r="B320" i="3"/>
  <c r="B629" i="3"/>
  <c r="B436" i="3"/>
  <c r="B442" i="3"/>
  <c r="B912" i="3"/>
  <c r="B744" i="3"/>
  <c r="B959" i="3"/>
  <c r="B643" i="3"/>
  <c r="B814" i="3"/>
  <c r="B407" i="3"/>
  <c r="B457" i="3"/>
  <c r="B503" i="3"/>
  <c r="B660" i="3"/>
  <c r="B772" i="3"/>
  <c r="B871" i="3"/>
  <c r="B946" i="3"/>
  <c r="B630" i="3"/>
  <c r="B685" i="3"/>
  <c r="B778" i="3"/>
  <c r="B1081" i="3"/>
  <c r="B852" i="3"/>
  <c r="B888" i="3"/>
  <c r="B1051" i="3"/>
  <c r="B993" i="3"/>
  <c r="B983" i="3"/>
  <c r="B1082" i="3"/>
  <c r="B974" i="3"/>
  <c r="B1056" i="3"/>
  <c r="B143" i="3"/>
  <c r="B580" i="3"/>
  <c r="B299" i="3"/>
  <c r="B207" i="3"/>
  <c r="B137" i="3"/>
  <c r="B229" i="3"/>
  <c r="B340" i="3"/>
  <c r="B127" i="3"/>
  <c r="B89" i="3"/>
  <c r="B538" i="3"/>
  <c r="B174" i="3"/>
  <c r="B218" i="3"/>
  <c r="B274" i="3"/>
  <c r="B314" i="3"/>
  <c r="B683" i="3"/>
  <c r="B522" i="3"/>
  <c r="B156" i="3"/>
  <c r="B323" i="3"/>
  <c r="B662" i="3"/>
  <c r="B472" i="3"/>
  <c r="B446" i="3"/>
  <c r="B517" i="3"/>
  <c r="B755" i="3"/>
  <c r="B528" i="3"/>
  <c r="B523" i="3"/>
  <c r="B665" i="3"/>
  <c r="B845" i="3"/>
  <c r="B423" i="3"/>
  <c r="B459" i="3"/>
  <c r="B505" i="3"/>
  <c r="B684" i="3"/>
  <c r="B775" i="3"/>
  <c r="B875" i="3"/>
  <c r="B638" i="3"/>
  <c r="B690" i="3"/>
  <c r="B781" i="3"/>
  <c r="B831" i="3"/>
  <c r="B854" i="3"/>
  <c r="B890" i="3"/>
  <c r="B1062" i="3"/>
  <c r="B1004" i="3"/>
  <c r="B994" i="3"/>
  <c r="B976" i="3"/>
  <c r="B1069" i="3"/>
  <c r="B167" i="3"/>
  <c r="B187" i="3"/>
  <c r="B91" i="3"/>
  <c r="B145" i="3"/>
  <c r="B273" i="3"/>
  <c r="B95" i="3"/>
  <c r="B752" i="3"/>
  <c r="B116" i="3"/>
  <c r="B214" i="3"/>
  <c r="B282" i="3"/>
  <c r="B370" i="3"/>
  <c r="B404" i="3"/>
  <c r="B184" i="3"/>
  <c r="B379" i="3"/>
  <c r="B424" i="3"/>
  <c r="B482" i="3"/>
  <c r="B589" i="3"/>
  <c r="B927" i="3"/>
  <c r="B547" i="3"/>
  <c r="B729" i="3"/>
  <c r="B397" i="3"/>
  <c r="B471" i="3"/>
  <c r="B558" i="3"/>
  <c r="B724" i="3"/>
  <c r="B899" i="3"/>
  <c r="B646" i="3"/>
  <c r="B762" i="3"/>
  <c r="B904" i="3"/>
  <c r="B876" i="3"/>
  <c r="B1030" i="3"/>
  <c r="B1042" i="3"/>
  <c r="B1072" i="3"/>
  <c r="B275" i="3"/>
  <c r="B203" i="3"/>
  <c r="B295" i="3"/>
  <c r="B177" i="3"/>
  <c r="B277" i="3"/>
  <c r="B227" i="3"/>
  <c r="B774" i="3"/>
  <c r="B142" i="3"/>
  <c r="B234" i="3"/>
  <c r="B290" i="3"/>
  <c r="B373" i="3"/>
  <c r="B88" i="3"/>
  <c r="B540" i="3"/>
  <c r="B519" i="3"/>
  <c r="B554" i="3"/>
  <c r="B486" i="3"/>
  <c r="B691" i="3"/>
  <c r="B552" i="3"/>
  <c r="B579" i="3"/>
  <c r="B750" i="3"/>
  <c r="B399" i="3"/>
  <c r="B473" i="3"/>
  <c r="B566" i="3"/>
  <c r="B748" i="3"/>
  <c r="B935" i="3"/>
  <c r="B608" i="3"/>
  <c r="B666" i="3"/>
  <c r="B813" i="3"/>
  <c r="B824" i="3"/>
  <c r="B884" i="3"/>
  <c r="B908" i="3"/>
  <c r="B1047" i="3"/>
  <c r="B972" i="3"/>
  <c r="B151" i="3"/>
  <c r="B569" i="3"/>
  <c r="B113" i="3"/>
  <c r="B269" i="3"/>
  <c r="B351" i="3"/>
  <c r="B586" i="3"/>
  <c r="B212" i="3"/>
  <c r="B308" i="3"/>
  <c r="B979" i="3"/>
  <c r="B168" i="3"/>
  <c r="B673" i="3"/>
  <c r="B422" i="3"/>
  <c r="B581" i="3"/>
  <c r="B592" i="3"/>
  <c r="B639" i="3"/>
  <c r="B395" i="3"/>
  <c r="B487" i="3"/>
  <c r="B692" i="3"/>
  <c r="B867" i="3"/>
  <c r="B610" i="3"/>
  <c r="B717" i="3"/>
  <c r="B957" i="3"/>
  <c r="B886" i="3"/>
  <c r="B926" i="3"/>
  <c r="B913" i="3"/>
  <c r="B932" i="3"/>
  <c r="B1040" i="3"/>
  <c r="B353" i="3"/>
  <c r="B633" i="3"/>
  <c r="B141" i="3"/>
  <c r="B377" i="3"/>
  <c r="B537" i="3"/>
  <c r="B112" i="3"/>
  <c r="B244" i="3"/>
  <c r="B330" i="3"/>
  <c r="B392" i="3"/>
  <c r="B705" i="3"/>
  <c r="B478" i="3"/>
  <c r="B760" i="3"/>
  <c r="B906" i="3"/>
  <c r="B681" i="3"/>
  <c r="B427" i="3"/>
  <c r="B495" i="3"/>
  <c r="B719" i="3"/>
  <c r="B1027" i="3"/>
  <c r="B614" i="3"/>
  <c r="B746" i="3"/>
  <c r="B826" i="3"/>
  <c r="B923" i="3"/>
  <c r="B977" i="3"/>
  <c r="B1015" i="3"/>
  <c r="B291" i="3"/>
  <c r="B731" i="3"/>
  <c r="B241" i="3"/>
  <c r="B548" i="3"/>
  <c r="B178" i="3"/>
  <c r="B280" i="3"/>
  <c r="B1022" i="3"/>
  <c r="B315" i="3"/>
  <c r="B382" i="3"/>
  <c r="B573" i="3"/>
  <c r="B1012" i="3"/>
  <c r="B475" i="3"/>
  <c r="B780" i="3"/>
  <c r="B714" i="3"/>
  <c r="B838" i="3"/>
  <c r="B998" i="3"/>
  <c r="B1010" i="3"/>
  <c r="B587" i="3"/>
  <c r="B507" i="3"/>
  <c r="B757" i="3"/>
  <c r="B918" i="3"/>
  <c r="B1058" i="3"/>
  <c r="B332" i="3"/>
  <c r="B307" i="3"/>
  <c r="B245" i="3"/>
  <c r="B795" i="3"/>
  <c r="B182" i="3"/>
  <c r="B292" i="3"/>
  <c r="B92" i="3"/>
  <c r="B347" i="3"/>
  <c r="B394" i="3"/>
  <c r="B712" i="3"/>
  <c r="B381" i="3"/>
  <c r="B493" i="3"/>
  <c r="B783" i="3"/>
  <c r="B730" i="3"/>
  <c r="B840" i="3"/>
  <c r="B1026" i="3"/>
  <c r="B992" i="3"/>
  <c r="B335" i="3"/>
  <c r="B321" i="3"/>
  <c r="B293" i="3"/>
  <c r="B689" i="3"/>
  <c r="B202" i="3"/>
  <c r="B310" i="3"/>
  <c r="B96" i="3"/>
  <c r="B371" i="3"/>
  <c r="B418" i="3"/>
  <c r="B771" i="3"/>
  <c r="B393" i="3"/>
  <c r="B788" i="3"/>
  <c r="B856" i="3"/>
  <c r="B937" i="3"/>
  <c r="B997" i="3"/>
  <c r="B337" i="3"/>
  <c r="B197" i="3"/>
  <c r="B408" i="3"/>
  <c r="B260" i="3"/>
  <c r="B136" i="3"/>
  <c r="B426" i="3"/>
  <c r="B560" i="3"/>
  <c r="B793" i="3"/>
  <c r="B839" i="3"/>
  <c r="B818" i="3"/>
  <c r="B955" i="3"/>
  <c r="B215" i="3"/>
  <c r="B585" i="3"/>
  <c r="B100" i="3"/>
  <c r="B365" i="3"/>
  <c r="B506" i="3"/>
  <c r="B429" i="3"/>
  <c r="B716" i="3"/>
  <c r="B837" i="3"/>
  <c r="B988" i="3"/>
  <c r="B530" i="3"/>
  <c r="B612" i="3"/>
  <c r="B934" i="3"/>
  <c r="B688" i="3"/>
  <c r="B965" i="3"/>
  <c r="B210" i="3"/>
  <c r="B779" i="3"/>
  <c r="B525" i="3"/>
  <c r="B443" i="3"/>
  <c r="B863" i="3"/>
  <c r="B847" i="3"/>
  <c r="B171" i="3"/>
  <c r="B201" i="3"/>
  <c r="B420" i="3"/>
  <c r="B333" i="3"/>
  <c r="B556" i="3"/>
  <c r="B490" i="3"/>
  <c r="B851" i="3"/>
  <c r="B425" i="3"/>
  <c r="B687" i="3"/>
  <c r="B821" i="3"/>
  <c r="B963" i="3"/>
  <c r="B596" i="3"/>
  <c r="B657" i="3"/>
  <c r="B146" i="3"/>
  <c r="B378" i="3"/>
  <c r="B376" i="3"/>
  <c r="B431" i="3"/>
  <c r="B820" i="3"/>
  <c r="B941" i="3"/>
  <c r="B1036" i="3"/>
  <c r="B535" i="3"/>
  <c r="B595" i="3"/>
  <c r="B640" i="3"/>
  <c r="B117" i="3"/>
  <c r="B800" i="3"/>
  <c r="B865" i="3"/>
  <c r="B550" i="3"/>
  <c r="B642" i="3"/>
  <c r="B1037" i="3"/>
  <c r="B243" i="3"/>
  <c r="B1070" i="3"/>
  <c r="B858" i="3"/>
  <c r="B607" i="3"/>
  <c r="B242" i="3"/>
  <c r="B670" i="3"/>
  <c r="B246" i="3"/>
  <c r="B761" i="3"/>
  <c r="B1000" i="3"/>
  <c r="B258" i="3"/>
  <c r="B455" i="3"/>
  <c r="B181" i="3"/>
  <c r="B102" i="3"/>
  <c r="B897" i="3"/>
  <c r="B598" i="3"/>
  <c r="B644" i="3"/>
  <c r="B943" i="3"/>
  <c r="B132" i="3"/>
  <c r="B1006" i="3"/>
  <c r="B682" i="3"/>
  <c r="B396" i="3"/>
  <c r="B694" i="3"/>
  <c r="B930" i="3"/>
  <c r="B874" i="3"/>
  <c r="B801" i="3"/>
  <c r="B915" i="3"/>
  <c r="B324" i="3"/>
  <c r="B1065" i="3"/>
  <c r="B916" i="3"/>
  <c r="B575" i="3"/>
  <c r="B857" i="3"/>
  <c r="B924" i="3"/>
  <c r="B1032" i="3"/>
  <c r="D20" i="3"/>
  <c r="D26" i="3" s="1" a="1"/>
  <c r="D26" i="3" s="1"/>
  <c r="D28" i="3"/>
  <c r="D30" i="3"/>
  <c r="D38" i="3"/>
  <c r="B7" i="4" s="1"/>
  <c r="D24" i="4" a="1"/>
  <c r="D21" i="4" a="1"/>
  <c r="D16" i="4" a="1"/>
  <c r="E83" i="4" a="1"/>
  <c r="E81" i="4" a="1"/>
  <c r="E84" i="4" a="1"/>
  <c r="E76" i="4" a="1"/>
  <c r="E64" i="4" a="1"/>
  <c r="E49" i="4" a="1"/>
  <c r="E86" i="4" a="1"/>
  <c r="E54" i="4" a="1"/>
  <c r="E50" i="4" a="1"/>
  <c r="E67" i="4" a="1"/>
  <c r="E65" i="4" a="1"/>
  <c r="E51" i="4" a="1"/>
  <c r="E48" i="4" a="1"/>
  <c r="E82" i="4" a="1"/>
  <c r="E79" i="4" a="1"/>
  <c r="E47" i="4" a="1"/>
  <c r="E46" i="4" a="1"/>
  <c r="E68" i="4" a="1"/>
  <c r="E61" i="4" a="1"/>
  <c r="E74" i="4" a="1"/>
  <c r="E60" i="4" a="1"/>
  <c r="E59" i="4" a="1"/>
  <c r="E70" i="4" a="1"/>
  <c r="E52" i="4" a="1"/>
  <c r="E73" i="4" a="1"/>
  <c r="E57" i="4" a="1"/>
  <c r="E41" i="4" a="1"/>
  <c r="E66" i="4" a="1"/>
  <c r="F13" i="4" a="1"/>
  <c r="E44" i="4" a="1"/>
  <c r="E56" i="4" a="1"/>
  <c r="E87" i="4" a="1"/>
  <c r="E71" i="4" a="1"/>
  <c r="E55" i="4" a="1"/>
  <c r="E39" i="4" a="1"/>
  <c r="E62" i="4" a="1"/>
  <c r="E13" i="4" a="1"/>
  <c r="D13" i="4" a="1"/>
  <c r="E63" i="4" a="1"/>
  <c r="E78" i="4" a="1"/>
  <c r="G13" i="4" a="1"/>
  <c r="E77" i="4" a="1"/>
  <c r="E45" i="4" a="1"/>
  <c r="E42" i="4" a="1"/>
  <c r="E72" i="4" a="1"/>
  <c r="E75" i="4" a="1"/>
  <c r="E43" i="4" a="1"/>
  <c r="E38" i="4" a="1"/>
  <c r="E40" i="4" a="1"/>
  <c r="E85" i="4" a="1"/>
  <c r="E69" i="4" a="1"/>
  <c r="E53" i="4" a="1"/>
  <c r="D27" i="4" a="1"/>
  <c r="E58" i="4" a="1"/>
  <c r="B6" i="4" a="1"/>
  <c r="E80" i="4" a="1"/>
  <c r="C1015" i="3" a="1"/>
  <c r="C987" i="3" a="1"/>
  <c r="C863" i="3" a="1"/>
  <c r="C713" i="3" a="1"/>
  <c r="C410" i="3" a="1"/>
  <c r="C593" i="3" a="1"/>
  <c r="C90" i="3" a="1"/>
  <c r="C265" i="3" a="1"/>
  <c r="C215" i="3" a="1"/>
  <c r="C1061" i="3" a="1"/>
  <c r="C952" i="3" a="1"/>
  <c r="C794" i="3" a="1"/>
  <c r="C759" i="3" a="1"/>
  <c r="C708" i="3" a="1"/>
  <c r="C603" i="3" a="1"/>
  <c r="C808" i="3" a="1"/>
  <c r="C408" i="3" a="1"/>
  <c r="C588" i="3" a="1"/>
  <c r="C210" i="3" a="1"/>
  <c r="C465" i="3" a="1"/>
  <c r="C693" i="3" a="1"/>
  <c r="C197" i="3" a="1"/>
  <c r="C91" i="3" a="1"/>
  <c r="C211" i="3" a="1"/>
  <c r="C949" i="3" a="1"/>
  <c r="C751" i="3" a="1"/>
  <c r="C990" i="3" a="1"/>
  <c r="C404" i="3" a="1"/>
  <c r="C302" i="3" a="1"/>
  <c r="C461" i="3" a="1"/>
  <c r="C165" i="3" a="1"/>
  <c r="C119" i="3" a="1"/>
  <c r="C1082" i="3" a="1"/>
  <c r="C928" i="3" a="1"/>
  <c r="C743" i="3" a="1"/>
  <c r="C641" i="3" a="1"/>
  <c r="C498" i="3" a="1"/>
  <c r="C790" i="3" a="1"/>
  <c r="C300" i="3" a="1"/>
  <c r="C449" i="3" a="1"/>
  <c r="C427" i="3" a="1"/>
  <c r="C111" i="3" a="1"/>
  <c r="C1074" i="3" a="1"/>
  <c r="C882" i="3" a="1"/>
  <c r="C1027" i="3" a="1"/>
  <c r="C619" i="3" a="1"/>
  <c r="C492" i="3" a="1"/>
  <c r="C130" i="3" a="1"/>
  <c r="C156" i="3" a="1"/>
  <c r="C385" i="3" a="1"/>
  <c r="C395" i="3" a="1"/>
  <c r="C521" i="3" a="1"/>
  <c r="C1052" i="3" a="1"/>
  <c r="C880" i="3" a="1"/>
  <c r="C836" i="3" a="1"/>
  <c r="C607" i="3" a="1"/>
  <c r="C600" i="3" a="1"/>
  <c r="C733" i="3" a="1"/>
  <c r="C96" i="3" a="1"/>
  <c r="C264" i="3" a="1"/>
  <c r="C154" i="3" a="1"/>
  <c r="C378" i="3" a="1"/>
  <c r="C363" i="3" a="1"/>
  <c r="C601" i="3" a="1"/>
  <c r="C499" i="3" a="1"/>
  <c r="C93" i="3" a="1"/>
  <c r="C1047" i="3" a="1"/>
  <c r="C977" i="3" a="1"/>
  <c r="C1019" i="3" a="1"/>
  <c r="C891" i="3" a="1"/>
  <c r="C823" i="3" a="1"/>
  <c r="C769" i="3" a="1"/>
  <c r="C605" i="3" a="1"/>
  <c r="C597" i="3" a="1"/>
  <c r="C444" i="3" a="1"/>
  <c r="C614" i="3" a="1"/>
  <c r="C92" i="3" a="1"/>
  <c r="C258" i="3" a="1"/>
  <c r="C112" i="3" a="1"/>
  <c r="C330" i="3" a="1"/>
  <c r="C334" i="3" a="1"/>
  <c r="C177" i="3" a="1"/>
  <c r="C467" i="3" a="1"/>
  <c r="C1077" i="3" a="1"/>
  <c r="C947" i="3" a="1"/>
  <c r="C802" i="3" a="1"/>
  <c r="C716" i="3" a="1"/>
  <c r="C525" i="3" a="1"/>
  <c r="C575" i="3" a="1"/>
  <c r="C216" i="3" a="1"/>
  <c r="C725" i="3" a="1"/>
  <c r="C901" i="3" a="1"/>
  <c r="C923" i="3" a="1"/>
  <c r="C649" i="3" a="1"/>
  <c r="C918" i="3" a="1"/>
  <c r="C778" i="3" a="1"/>
  <c r="C645" i="3" a="1"/>
  <c r="C500" i="3" a="1"/>
  <c r="C835" i="3" a="1"/>
  <c r="C206" i="3" a="1"/>
  <c r="C534" i="3" a="1"/>
  <c r="C574" i="3" a="1"/>
  <c r="C1068" i="3" a="1"/>
  <c r="C886" i="3" a="1"/>
  <c r="C1070" i="3" a="1"/>
  <c r="C940" i="3" a="1"/>
  <c r="C959" i="3" a="1"/>
  <c r="C781" i="3" a="1"/>
  <c r="C172" i="3" a="1"/>
  <c r="C351" i="3" a="1"/>
  <c r="C531" i="3" a="1"/>
  <c r="C1060" i="3" a="1"/>
  <c r="C1006" i="3" a="1"/>
  <c r="C929" i="3" a="1"/>
  <c r="C659" i="3" a="1"/>
  <c r="C749" i="3" a="1"/>
  <c r="C298" i="3" a="1"/>
  <c r="C335" i="3" a="1"/>
  <c r="C547" i="3" a="1"/>
  <c r="C1066" i="3" a="1"/>
  <c r="C1009" i="3" a="1"/>
  <c r="C967" i="3" a="1"/>
  <c r="C913" i="3" a="1"/>
  <c r="C458" i="3" a="1"/>
  <c r="C1031" i="3" a="1"/>
  <c r="C1062" i="3" a="1"/>
  <c r="C1003" i="3" a="1"/>
  <c r="C1081" i="3" a="1"/>
  <c r="C883" i="3" a="1"/>
  <c r="C724" i="3" a="1"/>
  <c r="C761" i="3" a="1"/>
  <c r="C528" i="3" a="1"/>
  <c r="C440" i="3" a="1"/>
  <c r="C594" i="3" a="1"/>
  <c r="C683" i="3" a="1"/>
  <c r="C242" i="3" a="1"/>
  <c r="C106" i="3" a="1"/>
  <c r="C757" i="3" a="1"/>
  <c r="C1043" i="3" a="1"/>
  <c r="C97" i="3" a="1"/>
  <c r="C219" i="3" a="1"/>
  <c r="C1045" i="3" a="1"/>
  <c r="C1007" i="3" a="1"/>
  <c r="C1046" i="3" a="1"/>
  <c r="C870" i="3" a="1"/>
  <c r="C920" i="3" a="1"/>
  <c r="C738" i="3" a="1"/>
  <c r="C859" i="3" a="1"/>
  <c r="C812" i="3" a="1"/>
  <c r="C845" i="3" a="1"/>
  <c r="C639" i="3" a="1"/>
  <c r="C873" i="3" a="1"/>
  <c r="C592" i="3" a="1"/>
  <c r="C488" i="3" a="1"/>
  <c r="C438" i="3" a="1"/>
  <c r="C390" i="3" a="1"/>
  <c r="C685" i="3" a="1"/>
  <c r="C562" i="3" a="1"/>
  <c r="C758" i="3" a="1"/>
  <c r="C524" i="3" a="1"/>
  <c r="C290" i="3" a="1"/>
  <c r="C240" i="3" a="1"/>
  <c r="C202" i="3" a="1"/>
  <c r="C152" i="3" a="1"/>
  <c r="C768" i="3" a="1"/>
  <c r="C445" i="3" a="1"/>
  <c r="C314" i="3" a="1"/>
  <c r="C661" i="3" a="1"/>
  <c r="C1086" i="3" a="1"/>
  <c r="C423" i="3" a="1"/>
  <c r="C149" i="3" a="1"/>
  <c r="C516" i="3" a="1"/>
  <c r="C773" i="3" a="1"/>
  <c r="C313" i="3" a="1"/>
  <c r="C291" i="3" a="1"/>
  <c r="C195" i="3" a="1"/>
  <c r="C463" i="3" a="1"/>
  <c r="C999" i="3" a="1"/>
  <c r="C966" i="3" a="1"/>
  <c r="C866" i="3" a="1"/>
  <c r="C917" i="3" a="1"/>
  <c r="C730" i="3" a="1"/>
  <c r="C846" i="3" a="1"/>
  <c r="C796" i="3" a="1"/>
  <c r="C697" i="3" a="1"/>
  <c r="C629" i="3" a="1"/>
  <c r="C576" i="3" a="1"/>
  <c r="C474" i="3" a="1"/>
  <c r="C388" i="3" a="1"/>
  <c r="C554" i="3" a="1"/>
  <c r="C602" i="3" a="1"/>
  <c r="C286" i="3" a="1"/>
  <c r="C188" i="3" a="1"/>
  <c r="C513" i="3" a="1"/>
  <c r="C774" i="3" a="1"/>
  <c r="C1000" i="3" a="1"/>
  <c r="C137" i="3" a="1"/>
  <c r="C332" i="3" a="1"/>
  <c r="C287" i="3" a="1"/>
  <c r="C624" i="3" a="1"/>
  <c r="C1029" i="3" a="1"/>
  <c r="C1002" i="3" a="1"/>
  <c r="C864" i="3" a="1"/>
  <c r="C912" i="3" a="1"/>
  <c r="C714" i="3" a="1"/>
  <c r="C830" i="3" a="1"/>
  <c r="C788" i="3" a="1"/>
  <c r="C801" i="3" a="1"/>
  <c r="C625" i="3" a="1"/>
  <c r="C838" i="3" a="1"/>
  <c r="C712" i="3" a="1"/>
  <c r="C434" i="3" a="1"/>
  <c r="C626" i="3" a="1"/>
  <c r="C336" i="3" a="1"/>
  <c r="C349" i="3" a="1"/>
  <c r="C236" i="3" a="1"/>
  <c r="C144" i="3" a="1"/>
  <c r="C409" i="3" a="1"/>
  <c r="C587" i="3" a="1"/>
  <c r="C337" i="3" a="1"/>
  <c r="C377" i="3" a="1"/>
  <c r="C316" i="3" a="1"/>
  <c r="C283" i="3" a="1"/>
  <c r="C155" i="3" a="1"/>
  <c r="C981" i="3" a="1"/>
  <c r="C986" i="3" a="1"/>
  <c r="C980" i="3" a="1"/>
  <c r="C955" i="3" a="1"/>
  <c r="C892" i="3" a="1"/>
  <c r="C862" i="3" a="1"/>
  <c r="C968" i="3" a="1"/>
  <c r="C909" i="3" a="1"/>
  <c r="C818" i="3" a="1"/>
  <c r="C698" i="3" a="1"/>
  <c r="C899" i="3" a="1"/>
  <c r="C815" i="3" a="1"/>
  <c r="C671" i="3" a="1"/>
  <c r="C748" i="3" a="1"/>
  <c r="C1048" i="3" a="1"/>
  <c r="C785" i="3" a="1"/>
  <c r="C673" i="3" a="1"/>
  <c r="C623" i="3" a="1"/>
  <c r="C734" i="3" a="1"/>
  <c r="C803" i="3" a="1"/>
  <c r="C544" i="3" a="1"/>
  <c r="C696" i="3" a="1"/>
  <c r="C468" i="3" a="1"/>
  <c r="C418" i="3" a="1"/>
  <c r="C948" i="3" a="1"/>
  <c r="C622" i="3" a="1"/>
  <c r="C543" i="3" a="1"/>
  <c r="C328" i="3" a="1"/>
  <c r="C861" i="3" a="1"/>
  <c r="C341" i="3" a="1"/>
  <c r="C270" i="3" a="1"/>
  <c r="C234" i="3" a="1"/>
  <c r="C176" i="3" a="1"/>
  <c r="C120" i="3" a="1"/>
  <c r="C501" i="3" a="1"/>
  <c r="C405" i="3" a="1"/>
  <c r="C380" i="3" a="1"/>
  <c r="C566" i="3" a="1"/>
  <c r="C407" i="3" a="1"/>
  <c r="C411" i="3" a="1"/>
  <c r="C553" i="3" a="1"/>
  <c r="C301" i="3" a="1"/>
  <c r="C115" i="3" a="1"/>
  <c r="C101" i="3" a="1"/>
  <c r="C279" i="3" a="1"/>
  <c r="C131" i="3" a="1"/>
  <c r="C273" i="3" a="1"/>
  <c r="C1018" i="3" a="1"/>
  <c r="C1004" i="3" a="1"/>
  <c r="C915" i="3" a="1"/>
  <c r="C1072" i="3" a="1"/>
  <c r="C1049" i="3" a="1"/>
  <c r="C962" i="3" a="1"/>
  <c r="C735" i="3" a="1"/>
  <c r="C660" i="3" a="1"/>
  <c r="C705" i="3" a="1"/>
  <c r="C744" i="3" a="1"/>
  <c r="C88" i="3" a="1"/>
  <c r="C1037" i="3" a="1"/>
  <c r="C1010" i="3" a="1"/>
  <c r="C996" i="3" a="1"/>
  <c r="C910" i="3" a="1"/>
  <c r="C1040" i="3" a="1"/>
  <c r="C1017" i="3" a="1"/>
  <c r="C951" i="3" a="1"/>
  <c r="C687" i="3" a="1"/>
  <c r="C842" i="3" a="1"/>
  <c r="C857" i="3" a="1"/>
  <c r="C728" i="3" a="1"/>
  <c r="C436" i="3" a="1"/>
  <c r="C669" i="3" a="1"/>
  <c r="C344" i="3" a="1"/>
  <c r="C373" i="3" a="1"/>
  <c r="C238" i="3" a="1"/>
  <c r="C150" i="3" a="1"/>
  <c r="C441" i="3" a="1"/>
  <c r="C598" i="3" a="1"/>
  <c r="C391" i="3" a="1"/>
  <c r="C379" i="3" a="1"/>
  <c r="C245" i="3" a="1"/>
  <c r="C179" i="3" a="1"/>
  <c r="C988" i="3" a="1"/>
  <c r="C958" i="3" a="1"/>
  <c r="C902" i="3" a="1"/>
  <c r="C972" i="3" a="1"/>
  <c r="C985" i="3" a="1"/>
  <c r="C903" i="3" a="1"/>
  <c r="C679" i="3" a="1"/>
  <c r="C1080" i="3" a="1"/>
  <c r="C689" i="3" a="1"/>
  <c r="C851" i="3" a="1"/>
  <c r="C557" i="3" a="1"/>
  <c r="C472" i="3" a="1"/>
  <c r="C1032" i="3" a="1"/>
  <c r="C546" i="3" a="1"/>
  <c r="C954" i="3" a="1"/>
  <c r="C274" i="3" a="1"/>
  <c r="C184" i="3" a="1"/>
  <c r="C505" i="3" a="1"/>
  <c r="C742" i="3" a="1"/>
  <c r="C869" i="3" a="1"/>
  <c r="C596" i="3" a="1"/>
  <c r="C213" i="3" a="1"/>
  <c r="C419" i="3" a="1"/>
  <c r="C1079" i="3" a="1"/>
  <c r="C1076" i="3" a="1"/>
  <c r="C973" i="3" a="1"/>
  <c r="C1025" i="3" a="1"/>
  <c r="C950" i="3" a="1"/>
  <c r="C890" i="3" a="1"/>
  <c r="C860" i="3" a="1"/>
  <c r="C960" i="3" a="1"/>
  <c r="C810" i="3" a="1"/>
  <c r="C690" i="3" a="1"/>
  <c r="C895" i="3" a="1"/>
  <c r="C775" i="3" a="1"/>
  <c r="C663" i="3" a="1"/>
  <c r="C732" i="3" a="1"/>
  <c r="C984" i="3" a="1"/>
  <c r="C777" i="3" a="1"/>
  <c r="C651" i="3" a="1"/>
  <c r="C621" i="3" a="1"/>
  <c r="C718" i="3" a="1"/>
  <c r="C787" i="3" a="1"/>
  <c r="C536" i="3" a="1"/>
  <c r="C502" i="3" a="1"/>
  <c r="C460" i="3" a="1"/>
  <c r="C412" i="3" a="1"/>
  <c r="C937" i="3" a="1"/>
  <c r="C618" i="3" a="1"/>
  <c r="C514" i="3" a="1"/>
  <c r="C320" i="3" a="1"/>
  <c r="C747" i="3" a="1"/>
  <c r="C333" i="3" a="1"/>
  <c r="C266" i="3" a="1"/>
  <c r="C218" i="3" a="1"/>
  <c r="C174" i="3" a="1"/>
  <c r="C116" i="3" a="1"/>
  <c r="C497" i="3" a="1"/>
  <c r="C401" i="3" a="1"/>
  <c r="C789" i="3" a="1"/>
  <c r="C550" i="3" a="1"/>
  <c r="C369" i="3" a="1"/>
  <c r="C329" i="3" a="1"/>
  <c r="C459" i="3" a="1"/>
  <c r="C209" i="3" a="1"/>
  <c r="C103" i="3" a="1"/>
  <c r="C854" i="3" a="1"/>
  <c r="C259" i="3" a="1"/>
  <c r="C123" i="3" a="1"/>
  <c r="C109" i="3" a="1"/>
  <c r="C1050" i="3" a="1"/>
  <c r="C991" i="3" a="1"/>
  <c r="C969" i="3" a="1"/>
  <c r="C1030" i="3" a="1"/>
  <c r="C898" i="3" a="1"/>
  <c r="C858" i="3" a="1"/>
  <c r="C944" i="3" a="1"/>
  <c r="C856" i="3" a="1"/>
  <c r="C682" i="3" a="1"/>
  <c r="C875" i="3" a="1"/>
  <c r="C807" i="3" a="1"/>
  <c r="C855" i="3" a="1"/>
  <c r="C780" i="3" a="1"/>
  <c r="C700" i="3" a="1"/>
  <c r="C829" i="3" a="1"/>
  <c r="C753" i="3" a="1"/>
  <c r="C657" i="3" a="1"/>
  <c r="C637" i="3" a="1"/>
  <c r="C617" i="3" a="1"/>
  <c r="C782" i="3" a="1"/>
  <c r="C938" i="3" a="1"/>
  <c r="C568" i="3" a="1"/>
  <c r="C1075" i="3" a="1"/>
  <c r="C680" i="3" a="1"/>
  <c r="C484" i="3" a="1"/>
  <c r="C456" i="3" a="1"/>
  <c r="C428" i="3" a="1"/>
  <c r="C396" i="3" a="1"/>
  <c r="C916" i="3" a="1"/>
  <c r="C654" i="3" a="1"/>
  <c r="C586" i="3" a="1"/>
  <c r="C530" i="3" a="1"/>
  <c r="C726" i="3" a="1"/>
  <c r="C122" i="3" a="1"/>
  <c r="C911" i="3" a="1"/>
  <c r="C577" i="3" a="1"/>
  <c r="C317" i="3" a="1"/>
  <c r="C284" i="3" a="1"/>
  <c r="C256" i="3" a="1"/>
  <c r="C226" i="3" a="1"/>
  <c r="C200" i="3" a="1"/>
  <c r="C170" i="3" a="1"/>
  <c r="C140" i="3" a="1"/>
  <c r="C979" i="3" a="1"/>
  <c r="C493" i="3" a="1"/>
  <c r="C433" i="3" a="1"/>
  <c r="C370" i="3" a="1"/>
  <c r="C348" i="3" a="1"/>
  <c r="C628" i="3" a="1"/>
  <c r="C523" i="3" a="1"/>
  <c r="C720" i="3" a="1"/>
  <c r="C709" i="3" a="1"/>
  <c r="C309" i="3" a="1"/>
  <c r="C121" i="3" a="1"/>
  <c r="C355" i="3" a="1"/>
  <c r="C285" i="3" a="1"/>
  <c r="C616" i="3" a="1"/>
  <c r="C315" i="3" a="1"/>
  <c r="C201" i="3" a="1"/>
  <c r="C435" i="3" a="1"/>
  <c r="C251" i="3" a="1"/>
  <c r="C175" i="3" a="1"/>
  <c r="C107" i="3" a="1"/>
  <c r="C241" i="3" a="1"/>
  <c r="C1013" i="3" a="1"/>
  <c r="C1034" i="3" a="1"/>
  <c r="C1063" i="3" a="1"/>
  <c r="C983" i="3" a="1"/>
  <c r="C1028" i="3" a="1"/>
  <c r="C1057" i="3" a="1"/>
  <c r="C1014" i="3" a="1"/>
  <c r="C934" i="3" a="1"/>
  <c r="C896" i="3" a="1"/>
  <c r="C876" i="3" a="1"/>
  <c r="C1067" i="3" a="1"/>
  <c r="C992" i="3" a="1"/>
  <c r="C941" i="3" a="1"/>
  <c r="C840" i="3" a="1"/>
  <c r="C754" i="3" a="1"/>
  <c r="C674" i="3" a="1"/>
  <c r="C930" i="3" a="1"/>
  <c r="C871" i="3" a="1"/>
  <c r="C799" i="3" a="1"/>
  <c r="C711" i="3" a="1"/>
  <c r="C852" i="3" a="1"/>
  <c r="C772" i="3" a="1"/>
  <c r="C684" i="3" a="1"/>
  <c r="C956" i="3" a="1"/>
  <c r="C826" i="3" a="1"/>
  <c r="C737" i="3" a="1"/>
  <c r="C655" i="3" a="1"/>
  <c r="C635" i="3" a="1"/>
  <c r="C613" i="3" a="1"/>
  <c r="C766" i="3" a="1"/>
  <c r="C927" i="3" a="1"/>
  <c r="C739" i="3" a="1"/>
  <c r="C565" i="3" a="1"/>
  <c r="C1011" i="3" a="1"/>
  <c r="C508" i="3" a="1"/>
  <c r="C482" i="3" a="1"/>
  <c r="C454" i="3" a="1"/>
  <c r="C424" i="3" a="1"/>
  <c r="C394" i="3" a="1"/>
  <c r="C905" i="3" a="1"/>
  <c r="C646" i="3" a="1"/>
  <c r="C583" i="3" a="1"/>
  <c r="C527" i="3" a="1"/>
  <c r="C694" i="3" a="1"/>
  <c r="C114" i="3" a="1"/>
  <c r="C893" i="3" a="1"/>
  <c r="C556" i="3" a="1"/>
  <c r="C306" i="3" a="1"/>
  <c r="C282" i="3" a="1"/>
  <c r="C254" i="3" a="1"/>
  <c r="C222" i="3" a="1"/>
  <c r="C194" i="3" a="1"/>
  <c r="C168" i="3" a="1"/>
  <c r="C134" i="3" a="1"/>
  <c r="C847" i="3" a="1"/>
  <c r="C481" i="3" a="1"/>
  <c r="C417" i="3" a="1"/>
  <c r="C362" i="3" a="1"/>
  <c r="C340" i="3" a="1"/>
  <c r="C612" i="3" a="1"/>
  <c r="C367" i="3" a="1"/>
  <c r="C569" i="3" a="1"/>
  <c r="C579" i="3" a="1"/>
  <c r="C293" i="3" a="1"/>
  <c r="C921" i="3" a="1"/>
  <c r="C532" i="3" a="1"/>
  <c r="C269" i="3" a="1"/>
  <c r="C526" i="3" a="1"/>
  <c r="C648" i="3" a="1"/>
  <c r="C129" i="3" a="1"/>
  <c r="C345" i="3" a="1"/>
  <c r="C243" i="3" a="1"/>
  <c r="C163" i="3" a="1"/>
  <c r="C563" i="3" a="1"/>
  <c r="C141" i="3" a="1"/>
  <c r="C1021" i="3" a="1"/>
  <c r="C1071" i="3" a="1"/>
  <c r="C1044" i="3" a="1"/>
  <c r="C1073" i="3" a="1"/>
  <c r="C942" i="3" a="1"/>
  <c r="C878" i="3" a="1"/>
  <c r="C1008" i="3" a="1"/>
  <c r="C904" i="3" a="1"/>
  <c r="C762" i="3" a="1"/>
  <c r="C946" i="3" a="1"/>
  <c r="C727" i="3" a="1"/>
  <c r="C961" i="3" a="1"/>
  <c r="C771" i="3" a="1"/>
  <c r="C1085" i="3" a="1"/>
  <c r="C997" i="3" a="1"/>
  <c r="C1026" i="3" a="1"/>
  <c r="C1055" i="3" a="1"/>
  <c r="C1012" i="3" a="1"/>
  <c r="C1041" i="3" a="1"/>
  <c r="C998" i="3" a="1"/>
  <c r="C926" i="3" a="1"/>
  <c r="C894" i="3" a="1"/>
  <c r="C874" i="3" a="1"/>
  <c r="C1035" i="3" a="1"/>
  <c r="C976" i="3" a="1"/>
  <c r="C936" i="3" a="1"/>
  <c r="C824" i="3" a="1"/>
  <c r="C746" i="3" a="1"/>
  <c r="C666" i="3" a="1"/>
  <c r="C914" i="3" a="1"/>
  <c r="C867" i="3" a="1"/>
  <c r="C791" i="3" a="1"/>
  <c r="C695" i="3" a="1"/>
  <c r="C839" i="3" a="1"/>
  <c r="C764" i="3" a="1"/>
  <c r="C668" i="3" a="1"/>
  <c r="C945" i="3" a="1"/>
  <c r="C817" i="3" a="1"/>
  <c r="C721" i="3" a="1"/>
  <c r="C653" i="3" a="1"/>
  <c r="C633" i="3" a="1"/>
  <c r="C609" i="3" a="1"/>
  <c r="C750" i="3" a="1"/>
  <c r="C889" i="3" a="1"/>
  <c r="C675" i="3" a="1"/>
  <c r="C560" i="3" a="1"/>
  <c r="C844" i="3" a="1"/>
  <c r="C504" i="3" a="1"/>
  <c r="C476" i="3" a="1"/>
  <c r="C452" i="3" a="1"/>
  <c r="C420" i="3" a="1"/>
  <c r="C392" i="3" a="1"/>
  <c r="C813" i="3" a="1"/>
  <c r="C630" i="3" a="1"/>
  <c r="C578" i="3" a="1"/>
  <c r="C522" i="3" a="1"/>
  <c r="C360" i="3" a="1"/>
  <c r="C108" i="3" a="1"/>
  <c r="C877" i="3" a="1"/>
  <c r="C540" i="3" a="1"/>
  <c r="C304" i="3" a="1"/>
  <c r="C280" i="3" a="1"/>
  <c r="C250" i="3" a="1"/>
  <c r="C220" i="3" a="1"/>
  <c r="C192" i="3" a="1"/>
  <c r="C160" i="3" a="1"/>
  <c r="C132" i="3" a="1"/>
  <c r="C800" i="3" a="1"/>
  <c r="C473" i="3" a="1"/>
  <c r="C413" i="3" a="1"/>
  <c r="C354" i="3" a="1"/>
  <c r="C953" i="3" a="1"/>
  <c r="C604" i="3" a="1"/>
  <c r="C359" i="3" a="1"/>
  <c r="C471" i="3" a="1"/>
  <c r="C548" i="3" a="1"/>
  <c r="C277" i="3" a="1"/>
  <c r="C688" i="3" a="1"/>
  <c r="C358" i="3" a="1"/>
  <c r="C253" i="3" a="1"/>
  <c r="C479" i="3" a="1"/>
  <c r="C495" i="3" a="1"/>
  <c r="C117" i="3" a="1"/>
  <c r="C307" i="3" a="1"/>
  <c r="C239" i="3" a="1"/>
  <c r="C159" i="3" a="1"/>
  <c r="C443" i="3" a="1"/>
  <c r="C125" i="3" a="1"/>
  <c r="C1069" i="3" a="1"/>
  <c r="C1005" i="3" a="1"/>
  <c r="C1058" i="3" a="1"/>
  <c r="C994" i="3" a="1"/>
  <c r="C1039" i="3" a="1"/>
  <c r="C1036" i="3" a="1"/>
  <c r="C975" i="3" a="1"/>
  <c r="C993" i="3" a="1"/>
  <c r="C982" i="3" a="1"/>
  <c r="C939" i="3" a="1"/>
  <c r="C907" i="3" a="1"/>
  <c r="C888" i="3" a="1"/>
  <c r="C872" i="3" a="1"/>
  <c r="C1083" i="3" a="1"/>
  <c r="C1056" i="3" a="1"/>
  <c r="C965" i="3" a="1"/>
  <c r="C933" i="3" a="1"/>
  <c r="C843" i="3" a="1"/>
  <c r="C786" i="3" a="1"/>
  <c r="C722" i="3" a="1"/>
  <c r="C658" i="3" a="1"/>
  <c r="C935" i="3" a="1"/>
  <c r="C887" i="3" a="1"/>
  <c r="C849" i="3" a="1"/>
  <c r="C783" i="3" a="1"/>
  <c r="C719" i="3" a="1"/>
  <c r="C1059" i="3" a="1"/>
  <c r="C820" i="3" a="1"/>
  <c r="C756" i="3" a="1"/>
  <c r="C692" i="3" a="1"/>
  <c r="C1016" i="3" a="1"/>
  <c r="C924" i="3" a="1"/>
  <c r="C809" i="3" a="1"/>
  <c r="C745" i="3" a="1"/>
  <c r="C681" i="3" a="1"/>
  <c r="C647" i="3" a="1"/>
  <c r="C631" i="3" a="1"/>
  <c r="C615" i="3" a="1"/>
  <c r="C1033" i="3" a="1"/>
  <c r="C702" i="3" a="1"/>
  <c r="C881" i="3" a="1"/>
  <c r="C755" i="3" a="1"/>
  <c r="C589" i="3" a="1"/>
  <c r="C541" i="3" a="1"/>
  <c r="C831" i="3" a="1"/>
  <c r="C664" i="3" a="1"/>
  <c r="C490" i="3" a="1"/>
  <c r="C470" i="3" a="1"/>
  <c r="C450" i="3" a="1"/>
  <c r="C426" i="3" a="1"/>
  <c r="C406" i="3" a="1"/>
  <c r="C386" i="3" a="1"/>
  <c r="C797" i="3" a="1"/>
  <c r="C650" i="3" a="1"/>
  <c r="C610" i="3" a="1"/>
  <c r="C559" i="3" a="1"/>
  <c r="C519" i="3" a="1"/>
  <c r="C662" i="3" a="1"/>
  <c r="C126" i="3" a="1"/>
  <c r="C1001" i="3" a="1"/>
  <c r="C822" i="3" a="1"/>
  <c r="C545" i="3" a="1"/>
  <c r="C325" i="3" a="1"/>
  <c r="C296" i="3" a="1"/>
  <c r="C272" i="3" a="1"/>
  <c r="C252" i="3" a="1"/>
  <c r="C232" i="3" a="1"/>
  <c r="C208" i="3" a="1"/>
  <c r="C186" i="3" a="1"/>
  <c r="C166" i="3" a="1"/>
  <c r="C142" i="3" a="1"/>
  <c r="C110" i="3" a="1"/>
  <c r="C736" i="3" a="1"/>
  <c r="C477" i="3" a="1"/>
  <c r="C437" i="3" a="1"/>
  <c r="C397" i="3" a="1"/>
  <c r="C322" i="3" a="1"/>
  <c r="C1064" i="3" a="1"/>
  <c r="C652" i="3" a="1"/>
  <c r="C555" i="3" a="1"/>
  <c r="C343" i="3" a="1"/>
  <c r="C558" i="3" a="1"/>
  <c r="C731" i="3" a="1"/>
  <c r="C608" i="3" a="1"/>
  <c r="C249" i="3" a="1"/>
  <c r="C805" i="3" a="1"/>
  <c r="C361" i="3" a="1"/>
  <c r="C350" i="3" a="1"/>
  <c r="C193" i="3" a="1"/>
  <c r="C511" i="3" a="1"/>
  <c r="C943" i="3" a="1"/>
  <c r="C297" i="3" a="1"/>
  <c r="C964" i="3" a="1"/>
  <c r="C339" i="3" a="1"/>
  <c r="C255" i="3" a="1"/>
  <c r="C207" i="3" a="1"/>
  <c r="C151" i="3" a="1"/>
  <c r="C507" i="3" a="1"/>
  <c r="C257" i="3" a="1"/>
  <c r="C1053" i="3" a="1"/>
  <c r="C989" i="3" a="1"/>
  <c r="C1042" i="3" a="1"/>
  <c r="C978" i="3" a="1"/>
  <c r="C1023" i="3" a="1"/>
  <c r="C1084" i="3" a="1"/>
  <c r="C1020" i="3" a="1"/>
  <c r="C971" i="3" a="1"/>
  <c r="C1078" i="3" a="1"/>
  <c r="C963" i="3" a="1"/>
  <c r="C931" i="3" a="1"/>
  <c r="C900" i="3" a="1"/>
  <c r="C884" i="3" a="1"/>
  <c r="C868" i="3" a="1"/>
  <c r="C1051" i="3" a="1"/>
  <c r="C1024" i="3" a="1"/>
  <c r="C957" i="3" a="1"/>
  <c r="C925" i="3" a="1"/>
  <c r="C827" i="3" a="1"/>
  <c r="C770" i="3" a="1"/>
  <c r="C706" i="3" a="1"/>
  <c r="C1038" i="3" a="1"/>
  <c r="C919" i="3" a="1"/>
  <c r="C879" i="3" a="1"/>
  <c r="C833" i="3" a="1"/>
  <c r="C767" i="3" a="1"/>
  <c r="C703" i="3" a="1"/>
  <c r="C995" i="3" a="1"/>
  <c r="C804" i="3" a="1"/>
  <c r="C740" i="3" a="1"/>
  <c r="C676" i="3" a="1"/>
  <c r="C974" i="3" a="1"/>
  <c r="C908" i="3" a="1"/>
  <c r="C793" i="3" a="1"/>
  <c r="C729" i="3" a="1"/>
  <c r="C665" i="3" a="1"/>
  <c r="C643" i="3" a="1"/>
  <c r="C627" i="3" a="1"/>
  <c r="C611" i="3" a="1"/>
  <c r="C832" i="3" a="1"/>
  <c r="C1054" i="3" a="1"/>
  <c r="C865" i="3" a="1"/>
  <c r="C723" i="3" a="1"/>
  <c r="C573" i="3" a="1"/>
  <c r="C533" i="3" a="1"/>
  <c r="C792" i="3" a="1"/>
  <c r="C506" i="3" a="1"/>
  <c r="C486" i="3" a="1"/>
  <c r="C466" i="3" a="1"/>
  <c r="C442" i="3" a="1"/>
  <c r="C422" i="3" a="1"/>
  <c r="C402" i="3" a="1"/>
  <c r="C970" i="3" a="1"/>
  <c r="C765" i="3" a="1"/>
  <c r="C642" i="3" a="1"/>
  <c r="C591" i="3" a="1"/>
  <c r="C551" i="3" a="1"/>
  <c r="C352" i="3" a="1"/>
  <c r="C118" i="3" a="1"/>
  <c r="C372" i="3" a="1"/>
  <c r="C715" i="3" a="1"/>
  <c r="C529" i="3" a="1"/>
  <c r="C312" i="3" a="1"/>
  <c r="C288" i="3" a="1"/>
  <c r="C268" i="3" a="1"/>
  <c r="C248" i="3" a="1"/>
  <c r="C224" i="3" a="1"/>
  <c r="C204" i="3" a="1"/>
  <c r="C182" i="3" a="1"/>
  <c r="C158" i="3" a="1"/>
  <c r="C136" i="3" a="1"/>
  <c r="C102" i="3" a="1"/>
  <c r="C509" i="3" a="1"/>
  <c r="C469" i="3" a="1"/>
  <c r="C429" i="3" a="1"/>
  <c r="C381" i="3" a="1"/>
  <c r="C806" i="3" a="1"/>
  <c r="C932" i="3" a="1"/>
  <c r="C620" i="3" a="1"/>
  <c r="C539" i="3" a="1"/>
  <c r="C327" i="3" a="1"/>
  <c r="C439" i="3" a="1"/>
  <c r="C632" i="3" a="1"/>
  <c r="C590" i="3" a="1"/>
  <c r="C181" i="3" a="1"/>
  <c r="C640" i="3" a="1"/>
  <c r="C323" i="3" a="1"/>
  <c r="C342" i="3" a="1"/>
  <c r="C161" i="3" a="1"/>
  <c r="C447" i="3" a="1"/>
  <c r="C841" i="3" a="1"/>
  <c r="C229" i="3" a="1"/>
  <c r="C763" i="3" a="1"/>
  <c r="C303" i="3" a="1"/>
  <c r="C247" i="3" a="1"/>
  <c r="C191" i="3" a="1"/>
  <c r="C127" i="3" a="1"/>
  <c r="C331" i="3" a="1"/>
  <c r="C225" i="3" a="1"/>
  <c r="C814" i="3" a="1"/>
  <c r="C686" i="3" a="1"/>
  <c r="C906" i="3" a="1"/>
  <c r="C825" i="3" a="1"/>
  <c r="C707" i="3" a="1"/>
  <c r="C584" i="3" a="1"/>
  <c r="C552" i="3" a="1"/>
  <c r="C520" i="3" a="1"/>
  <c r="C776" i="3" a="1"/>
  <c r="C512" i="3" a="1"/>
  <c r="C496" i="3" a="1"/>
  <c r="C480" i="3" a="1"/>
  <c r="C464" i="3" a="1"/>
  <c r="C448" i="3" a="1"/>
  <c r="C432" i="3" a="1"/>
  <c r="C416" i="3" a="1"/>
  <c r="C400" i="3" a="1"/>
  <c r="C384" i="3" a="1"/>
  <c r="C850" i="3" a="1"/>
  <c r="C717" i="3" a="1"/>
  <c r="C638" i="3" a="1"/>
  <c r="C606" i="3" a="1"/>
  <c r="C570" i="3" a="1"/>
  <c r="C538" i="3" a="1"/>
  <c r="C1065" i="3" a="1"/>
  <c r="C376" i="3" a="1"/>
  <c r="C190" i="3" a="1"/>
  <c r="C104" i="3" a="1"/>
  <c r="C364" i="3" a="1"/>
  <c r="C811" i="3" a="1"/>
  <c r="C572" i="3" a="1"/>
  <c r="C365" i="3" a="1"/>
  <c r="C310" i="3" a="1"/>
  <c r="C294" i="3" a="1"/>
  <c r="C278" i="3" a="1"/>
  <c r="C262" i="3" a="1"/>
  <c r="C246" i="3" a="1"/>
  <c r="C230" i="3" a="1"/>
  <c r="C214" i="3" a="1"/>
  <c r="C198" i="3" a="1"/>
  <c r="C180" i="3" a="1"/>
  <c r="C164" i="3" a="1"/>
  <c r="C148" i="3" a="1"/>
  <c r="C128" i="3" a="1"/>
  <c r="C98" i="3" a="1"/>
  <c r="C704" i="3" a="1"/>
  <c r="C489" i="3" a="1"/>
  <c r="C457" i="3" a="1"/>
  <c r="C425" i="3" a="1"/>
  <c r="C393" i="3" a="1"/>
  <c r="C346" i="3" a="1"/>
  <c r="C710" i="3" a="1"/>
  <c r="C834" i="3" a="1"/>
  <c r="C644" i="3" a="1"/>
  <c r="C582" i="3" a="1"/>
  <c r="C518" i="3" a="1"/>
  <c r="C319" i="3" a="1"/>
  <c r="C515" i="3" a="1"/>
  <c r="C318" i="3" a="1"/>
  <c r="C487" i="3" a="1"/>
  <c r="C324" i="3" a="1"/>
  <c r="C233" i="3" a="1"/>
  <c r="C105" i="3" a="1"/>
  <c r="C542" i="3" a="1"/>
  <c r="C816" i="3" a="1"/>
  <c r="C585" i="3" a="1"/>
  <c r="C237" i="3" a="1"/>
  <c r="C828" i="3" a="1"/>
  <c r="C415" i="3" a="1"/>
  <c r="C885" i="3" a="1"/>
  <c r="C483" i="3" a="1"/>
  <c r="C185" i="3" a="1"/>
  <c r="C595" i="3" a="1"/>
  <c r="C321" i="3" a="1"/>
  <c r="C275" i="3" a="1"/>
  <c r="C227" i="3" a="1"/>
  <c r="C187" i="3" a="1"/>
  <c r="C147" i="3" a="1"/>
  <c r="C853" i="3" a="1"/>
  <c r="C399" i="3" a="1"/>
  <c r="C205" i="3" a="1"/>
  <c r="C798" i="3" a="1"/>
  <c r="C670" i="3" a="1"/>
  <c r="C897" i="3" a="1"/>
  <c r="C819" i="3" a="1"/>
  <c r="C691" i="3" a="1"/>
  <c r="C581" i="3" a="1"/>
  <c r="C549" i="3" a="1"/>
  <c r="C517" i="3" a="1"/>
  <c r="C760" i="3" a="1"/>
  <c r="C510" i="3" a="1"/>
  <c r="C494" i="3" a="1"/>
  <c r="C478" i="3" a="1"/>
  <c r="C462" i="3" a="1"/>
  <c r="C446" i="3" a="1"/>
  <c r="C430" i="3" a="1"/>
  <c r="C414" i="3" a="1"/>
  <c r="C398" i="3" a="1"/>
  <c r="C382" i="3" a="1"/>
  <c r="C837" i="3" a="1"/>
  <c r="C701" i="3" a="1"/>
  <c r="C634" i="3" a="1"/>
  <c r="C599" i="3" a="1"/>
  <c r="C567" i="3" a="1"/>
  <c r="C535" i="3" a="1"/>
  <c r="C848" i="3" a="1"/>
  <c r="C368" i="3" a="1"/>
  <c r="C138" i="3" a="1"/>
  <c r="C100" i="3" a="1"/>
  <c r="C1022" i="3" a="1"/>
  <c r="C779" i="3" a="1"/>
  <c r="C561" i="3" a="1"/>
  <c r="C357" i="3" a="1"/>
  <c r="C308" i="3" a="1"/>
  <c r="C292" i="3" a="1"/>
  <c r="C276" i="3" a="1"/>
  <c r="C260" i="3" a="1"/>
  <c r="C244" i="3" a="1"/>
  <c r="C228" i="3" a="1"/>
  <c r="C212" i="3" a="1"/>
  <c r="C196" i="3" a="1"/>
  <c r="C178" i="3" a="1"/>
  <c r="C162" i="3" a="1"/>
  <c r="C146" i="3" a="1"/>
  <c r="C124" i="3" a="1"/>
  <c r="C94" i="3" a="1"/>
  <c r="C672" i="3" a="1"/>
  <c r="C485" i="3" a="1"/>
  <c r="C453" i="3" a="1"/>
  <c r="C421" i="3" a="1"/>
  <c r="C389" i="3" a="1"/>
  <c r="C338" i="3" a="1"/>
  <c r="C678" i="3" a="1"/>
  <c r="C821" i="3" a="1"/>
  <c r="C636" i="3" a="1"/>
  <c r="C571" i="3" a="1"/>
  <c r="C375" i="3" a="1"/>
  <c r="C356" i="3" a="1"/>
  <c r="C503" i="3" a="1"/>
  <c r="C95" i="3" a="1"/>
  <c r="C455" i="3" a="1"/>
  <c r="C387" i="3" a="1"/>
  <c r="C217" i="3" a="1"/>
  <c r="C89" i="3" a="1"/>
  <c r="C491" i="3" a="1"/>
  <c r="C699" i="3" a="1"/>
  <c r="C451" i="3" a="1"/>
  <c r="C221" i="3" a="1"/>
  <c r="C795" i="3" a="1"/>
  <c r="C383" i="3" a="1"/>
  <c r="C475" i="3" a="1"/>
  <c r="C371" i="3" a="1"/>
  <c r="C173" i="3" a="1"/>
  <c r="C564" i="3" a="1"/>
  <c r="C311" i="3" a="1"/>
  <c r="C271" i="3" a="1"/>
  <c r="C223" i="3" a="1"/>
  <c r="C183" i="3" a="1"/>
  <c r="C143" i="3" a="1"/>
  <c r="C677" i="3" a="1"/>
  <c r="C752" i="3" a="1"/>
  <c r="C189" i="3" a="1"/>
  <c r="C133" i="3" a="1"/>
  <c r="C580" i="3" a="1"/>
  <c r="C353" i="3" a="1"/>
  <c r="C366" i="3" a="1"/>
  <c r="C431" i="3" a="1"/>
  <c r="C281" i="3" a="1"/>
  <c r="C157" i="3" a="1"/>
  <c r="C741" i="3" a="1"/>
  <c r="C403" i="3" a="1"/>
  <c r="C299" i="3" a="1"/>
  <c r="C267" i="3" a="1"/>
  <c r="C235" i="3" a="1"/>
  <c r="C203" i="3" a="1"/>
  <c r="C171" i="3" a="1"/>
  <c r="C139" i="3" a="1"/>
  <c r="C99" i="3" a="1"/>
  <c r="C784" i="3" a="1"/>
  <c r="C305" i="3" a="1"/>
  <c r="C169" i="3" a="1"/>
  <c r="C113" i="3" a="1"/>
  <c r="C537" i="3" a="1"/>
  <c r="C347" i="3" a="1"/>
  <c r="C326" i="3" a="1"/>
  <c r="C922" i="3" a="1"/>
  <c r="C261" i="3" a="1"/>
  <c r="C145" i="3" a="1"/>
  <c r="C656" i="3" a="1"/>
  <c r="C374" i="3" a="1"/>
  <c r="C295" i="3" a="1"/>
  <c r="C263" i="3" a="1"/>
  <c r="C231" i="3" a="1"/>
  <c r="C199" i="3" a="1"/>
  <c r="C167" i="3" a="1"/>
  <c r="C135" i="3" a="1"/>
  <c r="C87" i="3" a="1"/>
  <c r="C667" i="3" a="1"/>
  <c r="C289" i="3" a="1"/>
  <c r="C153" i="3" a="1"/>
  <c r="E80" i="4" l="1"/>
  <c r="B6" i="4"/>
  <c r="E58" i="4"/>
  <c r="D27" i="4"/>
  <c r="E53" i="4"/>
  <c r="E69" i="4"/>
  <c r="E85" i="4"/>
  <c r="E40" i="4"/>
  <c r="E38" i="4"/>
  <c r="E43" i="4"/>
  <c r="E75" i="4"/>
  <c r="E72" i="4"/>
  <c r="E42" i="4"/>
  <c r="E45" i="4"/>
  <c r="E77" i="4"/>
  <c r="G13" i="4"/>
  <c r="E78" i="4"/>
  <c r="E63" i="4"/>
  <c r="D13" i="4"/>
  <c r="E13" i="4"/>
  <c r="E62" i="4"/>
  <c r="E39" i="4"/>
  <c r="E55" i="4"/>
  <c r="E71" i="4"/>
  <c r="E87" i="4"/>
  <c r="E56" i="4"/>
  <c r="E44" i="4"/>
  <c r="F13" i="4"/>
  <c r="E66" i="4"/>
  <c r="E41" i="4"/>
  <c r="E57" i="4"/>
  <c r="E73" i="4"/>
  <c r="E52" i="4"/>
  <c r="E70" i="4"/>
  <c r="E59" i="4"/>
  <c r="E60" i="4"/>
  <c r="E74" i="4"/>
  <c r="E61" i="4"/>
  <c r="E68" i="4"/>
  <c r="E46" i="4"/>
  <c r="E47" i="4"/>
  <c r="E79" i="4"/>
  <c r="E82" i="4"/>
  <c r="E48" i="4"/>
  <c r="E51" i="4"/>
  <c r="E65" i="4"/>
  <c r="E67" i="4"/>
  <c r="E50" i="4"/>
  <c r="E54" i="4"/>
  <c r="E86" i="4"/>
  <c r="E49" i="4"/>
  <c r="E64" i="4"/>
  <c r="E76" i="4"/>
  <c r="E84" i="4"/>
  <c r="E81" i="4"/>
  <c r="E83" i="4"/>
  <c r="D16" i="4"/>
  <c r="D21" i="4"/>
  <c r="D24" i="4"/>
  <c r="C153" i="3"/>
  <c r="C289" i="3"/>
  <c r="C667" i="3"/>
  <c r="C87" i="3"/>
  <c r="C135" i="3"/>
  <c r="C167" i="3"/>
  <c r="C199" i="3"/>
  <c r="C231" i="3"/>
  <c r="C263" i="3"/>
  <c r="C295" i="3"/>
  <c r="C374" i="3"/>
  <c r="C656" i="3"/>
  <c r="C145" i="3"/>
  <c r="C261" i="3"/>
  <c r="C922" i="3"/>
  <c r="C326" i="3"/>
  <c r="C347" i="3"/>
  <c r="C537" i="3"/>
  <c r="C113" i="3"/>
  <c r="C169" i="3"/>
  <c r="C305" i="3"/>
  <c r="C784" i="3"/>
  <c r="C99" i="3"/>
  <c r="C139" i="3"/>
  <c r="C171" i="3"/>
  <c r="C203" i="3"/>
  <c r="C235" i="3"/>
  <c r="C267" i="3"/>
  <c r="C299" i="3"/>
  <c r="C403" i="3"/>
  <c r="C741" i="3"/>
  <c r="C157" i="3"/>
  <c r="C281" i="3"/>
  <c r="C431" i="3"/>
  <c r="C366" i="3"/>
  <c r="C353" i="3"/>
  <c r="C580" i="3"/>
  <c r="C133" i="3"/>
  <c r="C189" i="3"/>
  <c r="C752" i="3"/>
  <c r="C677" i="3"/>
  <c r="C143" i="3"/>
  <c r="C183" i="3"/>
  <c r="C223" i="3"/>
  <c r="C271" i="3"/>
  <c r="C311" i="3"/>
  <c r="C564" i="3"/>
  <c r="C173" i="3"/>
  <c r="C371" i="3"/>
  <c r="C475" i="3"/>
  <c r="C383" i="3"/>
  <c r="C795" i="3"/>
  <c r="C221" i="3"/>
  <c r="C451" i="3"/>
  <c r="C699" i="3"/>
  <c r="C491" i="3"/>
  <c r="C89" i="3"/>
  <c r="C217" i="3"/>
  <c r="C387" i="3"/>
  <c r="C455" i="3"/>
  <c r="C95" i="3"/>
  <c r="C503" i="3"/>
  <c r="C356" i="3"/>
  <c r="C375" i="3"/>
  <c r="C571" i="3"/>
  <c r="C636" i="3"/>
  <c r="C821" i="3"/>
  <c r="C678" i="3"/>
  <c r="C338" i="3"/>
  <c r="C389" i="3"/>
  <c r="C421" i="3"/>
  <c r="C453" i="3"/>
  <c r="C485" i="3"/>
  <c r="C672" i="3"/>
  <c r="C94" i="3"/>
  <c r="C124" i="3"/>
  <c r="C146" i="3"/>
  <c r="C162" i="3"/>
  <c r="C178" i="3"/>
  <c r="C196" i="3"/>
  <c r="C212" i="3"/>
  <c r="C228" i="3"/>
  <c r="C244" i="3"/>
  <c r="C260" i="3"/>
  <c r="C276" i="3"/>
  <c r="C292" i="3"/>
  <c r="C308" i="3"/>
  <c r="C357" i="3"/>
  <c r="C561" i="3"/>
  <c r="C779" i="3"/>
  <c r="C1022" i="3"/>
  <c r="C100" i="3"/>
  <c r="C138" i="3"/>
  <c r="C368" i="3"/>
  <c r="C848" i="3"/>
  <c r="C535" i="3"/>
  <c r="C567" i="3"/>
  <c r="C599" i="3"/>
  <c r="C634" i="3"/>
  <c r="C701" i="3"/>
  <c r="C837" i="3"/>
  <c r="C382" i="3"/>
  <c r="C398" i="3"/>
  <c r="C414" i="3"/>
  <c r="C430" i="3"/>
  <c r="C446" i="3"/>
  <c r="C462" i="3"/>
  <c r="C478" i="3"/>
  <c r="C494" i="3"/>
  <c r="C510" i="3"/>
  <c r="C760" i="3"/>
  <c r="C517" i="3"/>
  <c r="C549" i="3"/>
  <c r="C581" i="3"/>
  <c r="C691" i="3"/>
  <c r="C819" i="3"/>
  <c r="C897" i="3"/>
  <c r="C670" i="3"/>
  <c r="C798" i="3"/>
  <c r="C205" i="3"/>
  <c r="C399" i="3"/>
  <c r="C853" i="3"/>
  <c r="C147" i="3"/>
  <c r="C187" i="3"/>
  <c r="C227" i="3"/>
  <c r="C275" i="3"/>
  <c r="C321" i="3"/>
  <c r="C595" i="3"/>
  <c r="C185" i="3"/>
  <c r="C483" i="3"/>
  <c r="C885" i="3"/>
  <c r="C415" i="3"/>
  <c r="C828" i="3"/>
  <c r="C237" i="3"/>
  <c r="C585" i="3"/>
  <c r="C816" i="3"/>
  <c r="C542" i="3"/>
  <c r="C105" i="3"/>
  <c r="C233" i="3"/>
  <c r="C324" i="3"/>
  <c r="C487" i="3"/>
  <c r="C318" i="3"/>
  <c r="C515" i="3"/>
  <c r="C319" i="3"/>
  <c r="C518" i="3"/>
  <c r="C582" i="3"/>
  <c r="C644" i="3"/>
  <c r="C834" i="3"/>
  <c r="C710" i="3"/>
  <c r="C346" i="3"/>
  <c r="C393" i="3"/>
  <c r="C425" i="3"/>
  <c r="C457" i="3"/>
  <c r="C489" i="3"/>
  <c r="C704" i="3"/>
  <c r="C98" i="3"/>
  <c r="C128" i="3"/>
  <c r="C148" i="3"/>
  <c r="C164" i="3"/>
  <c r="C180" i="3"/>
  <c r="C198" i="3"/>
  <c r="C214" i="3"/>
  <c r="C230" i="3"/>
  <c r="C246" i="3"/>
  <c r="C262" i="3"/>
  <c r="C278" i="3"/>
  <c r="C294" i="3"/>
  <c r="C310" i="3"/>
  <c r="C365" i="3"/>
  <c r="C572" i="3"/>
  <c r="C811" i="3"/>
  <c r="C364" i="3"/>
  <c r="C104" i="3"/>
  <c r="C190" i="3"/>
  <c r="C376" i="3"/>
  <c r="C1065" i="3"/>
  <c r="C538" i="3"/>
  <c r="C570" i="3"/>
  <c r="C606" i="3"/>
  <c r="C638" i="3"/>
  <c r="C717" i="3"/>
  <c r="C850" i="3"/>
  <c r="C384" i="3"/>
  <c r="C400" i="3"/>
  <c r="C416" i="3"/>
  <c r="C432" i="3"/>
  <c r="C448" i="3"/>
  <c r="C464" i="3"/>
  <c r="C480" i="3"/>
  <c r="C496" i="3"/>
  <c r="C512" i="3"/>
  <c r="C776" i="3"/>
  <c r="C520" i="3"/>
  <c r="C552" i="3"/>
  <c r="C584" i="3"/>
  <c r="C707" i="3"/>
  <c r="C825" i="3"/>
  <c r="C906" i="3"/>
  <c r="C686" i="3"/>
  <c r="C814" i="3"/>
  <c r="C225" i="3"/>
  <c r="C331" i="3"/>
  <c r="C127" i="3"/>
  <c r="C191" i="3"/>
  <c r="C247" i="3"/>
  <c r="C303" i="3"/>
  <c r="C763" i="3"/>
  <c r="C229" i="3"/>
  <c r="C841" i="3"/>
  <c r="C447" i="3"/>
  <c r="C161" i="3"/>
  <c r="C342" i="3"/>
  <c r="C323" i="3"/>
  <c r="C640" i="3"/>
  <c r="C181" i="3"/>
  <c r="C590" i="3"/>
  <c r="C632" i="3"/>
  <c r="C439" i="3"/>
  <c r="C327" i="3"/>
  <c r="C539" i="3"/>
  <c r="C620" i="3"/>
  <c r="C932" i="3"/>
  <c r="C806" i="3"/>
  <c r="C381" i="3"/>
  <c r="C429" i="3"/>
  <c r="C469" i="3"/>
  <c r="C509" i="3"/>
  <c r="C102" i="3"/>
  <c r="C136" i="3"/>
  <c r="C158" i="3"/>
  <c r="C182" i="3"/>
  <c r="C204" i="3"/>
  <c r="C224" i="3"/>
  <c r="C248" i="3"/>
  <c r="C268" i="3"/>
  <c r="C288" i="3"/>
  <c r="C312" i="3"/>
  <c r="C529" i="3"/>
  <c r="C715" i="3"/>
  <c r="C372" i="3"/>
  <c r="C118" i="3"/>
  <c r="C352" i="3"/>
  <c r="C551" i="3"/>
  <c r="C591" i="3"/>
  <c r="C642" i="3"/>
  <c r="C765" i="3"/>
  <c r="C970" i="3"/>
  <c r="C402" i="3"/>
  <c r="C422" i="3"/>
  <c r="C442" i="3"/>
  <c r="C466" i="3"/>
  <c r="C486" i="3"/>
  <c r="C506" i="3"/>
  <c r="C792" i="3"/>
  <c r="C533" i="3"/>
  <c r="C573" i="3"/>
  <c r="C723" i="3"/>
  <c r="C865" i="3"/>
  <c r="C1054" i="3"/>
  <c r="C832" i="3"/>
  <c r="C611" i="3"/>
  <c r="C627" i="3"/>
  <c r="C643" i="3"/>
  <c r="C665" i="3"/>
  <c r="C729" i="3"/>
  <c r="C793" i="3"/>
  <c r="C908" i="3"/>
  <c r="C974" i="3"/>
  <c r="C676" i="3"/>
  <c r="C740" i="3"/>
  <c r="C804" i="3"/>
  <c r="C995" i="3"/>
  <c r="C703" i="3"/>
  <c r="C767" i="3"/>
  <c r="C833" i="3"/>
  <c r="C879" i="3"/>
  <c r="C919" i="3"/>
  <c r="C1038" i="3"/>
  <c r="C706" i="3"/>
  <c r="C770" i="3"/>
  <c r="C827" i="3"/>
  <c r="C925" i="3"/>
  <c r="C957" i="3"/>
  <c r="C1024" i="3"/>
  <c r="C1051" i="3"/>
  <c r="C868" i="3"/>
  <c r="C884" i="3"/>
  <c r="C900" i="3"/>
  <c r="C931" i="3"/>
  <c r="C963" i="3"/>
  <c r="C1078" i="3"/>
  <c r="C971" i="3"/>
  <c r="C1020" i="3"/>
  <c r="C1084" i="3"/>
  <c r="C1023" i="3"/>
  <c r="C978" i="3"/>
  <c r="C1042" i="3"/>
  <c r="C989" i="3"/>
  <c r="C1053" i="3"/>
  <c r="C257" i="3"/>
  <c r="C507" i="3"/>
  <c r="C151" i="3"/>
  <c r="C207" i="3"/>
  <c r="C255" i="3"/>
  <c r="C339" i="3"/>
  <c r="C964" i="3"/>
  <c r="C297" i="3"/>
  <c r="C943" i="3"/>
  <c r="C511" i="3"/>
  <c r="C193" i="3"/>
  <c r="C350" i="3"/>
  <c r="C361" i="3"/>
  <c r="C805" i="3"/>
  <c r="C249" i="3"/>
  <c r="C608" i="3"/>
  <c r="C731" i="3"/>
  <c r="C558" i="3"/>
  <c r="C343" i="3"/>
  <c r="C555" i="3"/>
  <c r="C652" i="3"/>
  <c r="C1064" i="3"/>
  <c r="C322" i="3"/>
  <c r="C397" i="3"/>
  <c r="C437" i="3"/>
  <c r="C477" i="3"/>
  <c r="C736" i="3"/>
  <c r="C110" i="3"/>
  <c r="C142" i="3"/>
  <c r="C166" i="3"/>
  <c r="C186" i="3"/>
  <c r="C208" i="3"/>
  <c r="C232" i="3"/>
  <c r="C252" i="3"/>
  <c r="C272" i="3"/>
  <c r="C296" i="3"/>
  <c r="C325" i="3"/>
  <c r="C545" i="3"/>
  <c r="C822" i="3"/>
  <c r="C1001" i="3"/>
  <c r="C126" i="3"/>
  <c r="C662" i="3"/>
  <c r="C519" i="3"/>
  <c r="C559" i="3"/>
  <c r="C610" i="3"/>
  <c r="C650" i="3"/>
  <c r="C797" i="3"/>
  <c r="C386" i="3"/>
  <c r="C406" i="3"/>
  <c r="C426" i="3"/>
  <c r="C450" i="3"/>
  <c r="C470" i="3"/>
  <c r="C490" i="3"/>
  <c r="C664" i="3"/>
  <c r="C831" i="3"/>
  <c r="C541" i="3"/>
  <c r="C589" i="3"/>
  <c r="C755" i="3"/>
  <c r="C881" i="3"/>
  <c r="C702" i="3"/>
  <c r="C1033" i="3"/>
  <c r="C615" i="3"/>
  <c r="C631" i="3"/>
  <c r="C647" i="3"/>
  <c r="C681" i="3"/>
  <c r="C745" i="3"/>
  <c r="C809" i="3"/>
  <c r="C924" i="3"/>
  <c r="C1016" i="3"/>
  <c r="C692" i="3"/>
  <c r="C756" i="3"/>
  <c r="C820" i="3"/>
  <c r="C1059" i="3"/>
  <c r="C719" i="3"/>
  <c r="C783" i="3"/>
  <c r="C849" i="3"/>
  <c r="C887" i="3"/>
  <c r="C935" i="3"/>
  <c r="C658" i="3"/>
  <c r="C722" i="3"/>
  <c r="C786" i="3"/>
  <c r="C843" i="3"/>
  <c r="C933" i="3"/>
  <c r="C965" i="3"/>
  <c r="C1056" i="3"/>
  <c r="C1083" i="3"/>
  <c r="C872" i="3"/>
  <c r="C888" i="3"/>
  <c r="C907" i="3"/>
  <c r="C939" i="3"/>
  <c r="C982" i="3"/>
  <c r="C993" i="3"/>
  <c r="C975" i="3"/>
  <c r="C1036" i="3"/>
  <c r="C1039" i="3"/>
  <c r="C994" i="3"/>
  <c r="C1058" i="3"/>
  <c r="C1005" i="3"/>
  <c r="C1069" i="3"/>
  <c r="C125" i="3"/>
  <c r="C443" i="3"/>
  <c r="C159" i="3"/>
  <c r="C239" i="3"/>
  <c r="C307" i="3"/>
  <c r="C117" i="3"/>
  <c r="C495" i="3"/>
  <c r="C479" i="3"/>
  <c r="C253" i="3"/>
  <c r="C358" i="3"/>
  <c r="C688" i="3"/>
  <c r="C277" i="3"/>
  <c r="C548" i="3"/>
  <c r="C471" i="3"/>
  <c r="C359" i="3"/>
  <c r="C604" i="3"/>
  <c r="C953" i="3"/>
  <c r="C354" i="3"/>
  <c r="C413" i="3"/>
  <c r="C473" i="3"/>
  <c r="C800" i="3"/>
  <c r="C132" i="3"/>
  <c r="C160" i="3"/>
  <c r="C192" i="3"/>
  <c r="C220" i="3"/>
  <c r="C250" i="3"/>
  <c r="C280" i="3"/>
  <c r="C304" i="3"/>
  <c r="C540" i="3"/>
  <c r="C877" i="3"/>
  <c r="C108" i="3"/>
  <c r="C360" i="3"/>
  <c r="C522" i="3"/>
  <c r="C578" i="3"/>
  <c r="C630" i="3"/>
  <c r="C813" i="3"/>
  <c r="C392" i="3"/>
  <c r="C420" i="3"/>
  <c r="C452" i="3"/>
  <c r="C476" i="3"/>
  <c r="C504" i="3"/>
  <c r="C844" i="3"/>
  <c r="C560" i="3"/>
  <c r="C675" i="3"/>
  <c r="C889" i="3"/>
  <c r="C750" i="3"/>
  <c r="C609" i="3"/>
  <c r="C633" i="3"/>
  <c r="C653" i="3"/>
  <c r="C721" i="3"/>
  <c r="C817" i="3"/>
  <c r="C945" i="3"/>
  <c r="C668" i="3"/>
  <c r="C764" i="3"/>
  <c r="C839" i="3"/>
  <c r="C695" i="3"/>
  <c r="C791" i="3"/>
  <c r="C867" i="3"/>
  <c r="C914" i="3"/>
  <c r="C666" i="3"/>
  <c r="C746" i="3"/>
  <c r="C824" i="3"/>
  <c r="C936" i="3"/>
  <c r="C976" i="3"/>
  <c r="C1035" i="3"/>
  <c r="C874" i="3"/>
  <c r="C894" i="3"/>
  <c r="C926" i="3"/>
  <c r="C998" i="3"/>
  <c r="C1041" i="3"/>
  <c r="C1012" i="3"/>
  <c r="C1055" i="3"/>
  <c r="C1026" i="3"/>
  <c r="C997" i="3"/>
  <c r="C1085" i="3"/>
  <c r="C771" i="3"/>
  <c r="C961" i="3"/>
  <c r="C727" i="3"/>
  <c r="C946" i="3"/>
  <c r="C762" i="3"/>
  <c r="C904" i="3"/>
  <c r="C1008" i="3"/>
  <c r="C878" i="3"/>
  <c r="C942" i="3"/>
  <c r="C1073" i="3"/>
  <c r="C1044" i="3"/>
  <c r="C1071" i="3"/>
  <c r="C1021" i="3"/>
  <c r="C141" i="3"/>
  <c r="C563" i="3"/>
  <c r="C163" i="3"/>
  <c r="C243" i="3"/>
  <c r="C345" i="3"/>
  <c r="C129" i="3"/>
  <c r="C648" i="3"/>
  <c r="C526" i="3"/>
  <c r="C269" i="3"/>
  <c r="C532" i="3"/>
  <c r="C921" i="3"/>
  <c r="C293" i="3"/>
  <c r="C579" i="3"/>
  <c r="C569" i="3"/>
  <c r="C367" i="3"/>
  <c r="C612" i="3"/>
  <c r="C340" i="3"/>
  <c r="C362" i="3"/>
  <c r="C417" i="3"/>
  <c r="C481" i="3"/>
  <c r="C847" i="3"/>
  <c r="C134" i="3"/>
  <c r="C168" i="3"/>
  <c r="C194" i="3"/>
  <c r="C222" i="3"/>
  <c r="C254" i="3"/>
  <c r="C282" i="3"/>
  <c r="C306" i="3"/>
  <c r="C556" i="3"/>
  <c r="C893" i="3"/>
  <c r="C114" i="3"/>
  <c r="C694" i="3"/>
  <c r="C527" i="3"/>
  <c r="C583" i="3"/>
  <c r="C646" i="3"/>
  <c r="C905" i="3"/>
  <c r="C394" i="3"/>
  <c r="C424" i="3"/>
  <c r="C454" i="3"/>
  <c r="C482" i="3"/>
  <c r="C508" i="3"/>
  <c r="C1011" i="3"/>
  <c r="C565" i="3"/>
  <c r="C739" i="3"/>
  <c r="C927" i="3"/>
  <c r="C766" i="3"/>
  <c r="C613" i="3"/>
  <c r="C635" i="3"/>
  <c r="C655" i="3"/>
  <c r="C737" i="3"/>
  <c r="C826" i="3"/>
  <c r="C956" i="3"/>
  <c r="C684" i="3"/>
  <c r="C772" i="3"/>
  <c r="C852" i="3"/>
  <c r="C711" i="3"/>
  <c r="C799" i="3"/>
  <c r="C871" i="3"/>
  <c r="C930" i="3"/>
  <c r="C674" i="3"/>
  <c r="C754" i="3"/>
  <c r="C840" i="3"/>
  <c r="C941" i="3"/>
  <c r="C992" i="3"/>
  <c r="C1067" i="3"/>
  <c r="C876" i="3"/>
  <c r="C896" i="3"/>
  <c r="C934" i="3"/>
  <c r="C1014" i="3"/>
  <c r="C1057" i="3"/>
  <c r="C1028" i="3"/>
  <c r="C983" i="3"/>
  <c r="C1063" i="3"/>
  <c r="C1034" i="3"/>
  <c r="C1013" i="3"/>
  <c r="C241" i="3"/>
  <c r="C107" i="3"/>
  <c r="C175" i="3"/>
  <c r="C251" i="3"/>
  <c r="C435" i="3"/>
  <c r="C201" i="3"/>
  <c r="C315" i="3"/>
  <c r="C616" i="3"/>
  <c r="C285" i="3"/>
  <c r="C355" i="3"/>
  <c r="C121" i="3"/>
  <c r="C309" i="3"/>
  <c r="C709" i="3"/>
  <c r="C720" i="3"/>
  <c r="C523" i="3"/>
  <c r="C628" i="3"/>
  <c r="C348" i="3"/>
  <c r="C370" i="3"/>
  <c r="C433" i="3"/>
  <c r="C493" i="3"/>
  <c r="C979" i="3"/>
  <c r="C140" i="3"/>
  <c r="C170" i="3"/>
  <c r="C200" i="3"/>
  <c r="C226" i="3"/>
  <c r="C256" i="3"/>
  <c r="C284" i="3"/>
  <c r="C317" i="3"/>
  <c r="C577" i="3"/>
  <c r="C911" i="3"/>
  <c r="C122" i="3"/>
  <c r="C726" i="3"/>
  <c r="C530" i="3"/>
  <c r="C586" i="3"/>
  <c r="C654" i="3"/>
  <c r="C916" i="3"/>
  <c r="C396" i="3"/>
  <c r="C428" i="3"/>
  <c r="C456" i="3"/>
  <c r="C484" i="3"/>
  <c r="C680" i="3"/>
  <c r="C1075" i="3"/>
  <c r="C568" i="3"/>
  <c r="C938" i="3"/>
  <c r="C782" i="3"/>
  <c r="C617" i="3"/>
  <c r="C637" i="3"/>
  <c r="C657" i="3"/>
  <c r="C753" i="3"/>
  <c r="C829" i="3"/>
  <c r="C700" i="3"/>
  <c r="C780" i="3"/>
  <c r="C855" i="3"/>
  <c r="C807" i="3"/>
  <c r="C875" i="3"/>
  <c r="C682" i="3"/>
  <c r="C856" i="3"/>
  <c r="C944" i="3"/>
  <c r="C858" i="3"/>
  <c r="C898" i="3"/>
  <c r="C1030" i="3"/>
  <c r="C969" i="3"/>
  <c r="C991" i="3"/>
  <c r="C1050" i="3"/>
  <c r="C109" i="3"/>
  <c r="C123" i="3"/>
  <c r="C259" i="3"/>
  <c r="C854" i="3"/>
  <c r="C103" i="3"/>
  <c r="C209" i="3"/>
  <c r="C459" i="3"/>
  <c r="C329" i="3"/>
  <c r="C369" i="3"/>
  <c r="C550" i="3"/>
  <c r="C789" i="3"/>
  <c r="C401" i="3"/>
  <c r="C497" i="3"/>
  <c r="C116" i="3"/>
  <c r="C174" i="3"/>
  <c r="C218" i="3"/>
  <c r="C266" i="3"/>
  <c r="C333" i="3"/>
  <c r="C747" i="3"/>
  <c r="C320" i="3"/>
  <c r="C514" i="3"/>
  <c r="C618" i="3"/>
  <c r="C937" i="3"/>
  <c r="C412" i="3"/>
  <c r="C460" i="3"/>
  <c r="C502" i="3"/>
  <c r="C536" i="3"/>
  <c r="C787" i="3"/>
  <c r="C718" i="3"/>
  <c r="C621" i="3"/>
  <c r="C651" i="3"/>
  <c r="C777" i="3"/>
  <c r="C984" i="3"/>
  <c r="C732" i="3"/>
  <c r="C663" i="3"/>
  <c r="C775" i="3"/>
  <c r="C895" i="3"/>
  <c r="C690" i="3"/>
  <c r="C810" i="3"/>
  <c r="C960" i="3"/>
  <c r="C860" i="3"/>
  <c r="C890" i="3"/>
  <c r="C950" i="3"/>
  <c r="C1025" i="3"/>
  <c r="C973" i="3"/>
  <c r="C1076" i="3"/>
  <c r="C1079" i="3"/>
  <c r="C419" i="3"/>
  <c r="C213" i="3"/>
  <c r="C596" i="3"/>
  <c r="C869" i="3"/>
  <c r="C742" i="3"/>
  <c r="C505" i="3"/>
  <c r="C184" i="3"/>
  <c r="C274" i="3"/>
  <c r="C954" i="3"/>
  <c r="C546" i="3"/>
  <c r="C1032" i="3"/>
  <c r="C472" i="3"/>
  <c r="C557" i="3"/>
  <c r="C851" i="3"/>
  <c r="C689" i="3"/>
  <c r="C1080" i="3"/>
  <c r="C679" i="3"/>
  <c r="C903" i="3"/>
  <c r="C985" i="3"/>
  <c r="C972" i="3"/>
  <c r="C902" i="3"/>
  <c r="C958" i="3"/>
  <c r="C988" i="3"/>
  <c r="C179" i="3"/>
  <c r="C245" i="3"/>
  <c r="C379" i="3"/>
  <c r="C391" i="3"/>
  <c r="C598" i="3"/>
  <c r="C441" i="3"/>
  <c r="C150" i="3"/>
  <c r="C238" i="3"/>
  <c r="C373" i="3"/>
  <c r="C344" i="3"/>
  <c r="C669" i="3"/>
  <c r="C436" i="3"/>
  <c r="C728" i="3"/>
  <c r="C857" i="3"/>
  <c r="C842" i="3"/>
  <c r="C687" i="3"/>
  <c r="C951" i="3"/>
  <c r="C1017" i="3"/>
  <c r="C1040" i="3"/>
  <c r="C910" i="3"/>
  <c r="C996" i="3"/>
  <c r="C1010" i="3"/>
  <c r="C1037" i="3"/>
  <c r="C88" i="3"/>
  <c r="C744" i="3"/>
  <c r="C705" i="3"/>
  <c r="C660" i="3"/>
  <c r="C735" i="3"/>
  <c r="C962" i="3"/>
  <c r="C1049" i="3"/>
  <c r="C1072" i="3"/>
  <c r="C915" i="3"/>
  <c r="C1004" i="3"/>
  <c r="C1018" i="3"/>
  <c r="C273" i="3"/>
  <c r="C131" i="3"/>
  <c r="C279" i="3"/>
  <c r="C101" i="3"/>
  <c r="C115" i="3"/>
  <c r="C301" i="3"/>
  <c r="C553" i="3"/>
  <c r="C411" i="3"/>
  <c r="C407" i="3"/>
  <c r="C566" i="3"/>
  <c r="C380" i="3"/>
  <c r="C405" i="3"/>
  <c r="C501" i="3"/>
  <c r="C120" i="3"/>
  <c r="C176" i="3"/>
  <c r="C234" i="3"/>
  <c r="C270" i="3"/>
  <c r="C341" i="3"/>
  <c r="C861" i="3"/>
  <c r="C328" i="3"/>
  <c r="C543" i="3"/>
  <c r="C622" i="3"/>
  <c r="C948" i="3"/>
  <c r="C418" i="3"/>
  <c r="C468" i="3"/>
  <c r="C696" i="3"/>
  <c r="C544" i="3"/>
  <c r="C803" i="3"/>
  <c r="C734" i="3"/>
  <c r="C623" i="3"/>
  <c r="C673" i="3"/>
  <c r="C785" i="3"/>
  <c r="C1048" i="3"/>
  <c r="C748" i="3"/>
  <c r="C671" i="3"/>
  <c r="C815" i="3"/>
  <c r="C899" i="3"/>
  <c r="C698" i="3"/>
  <c r="C818" i="3"/>
  <c r="C909" i="3"/>
  <c r="C968" i="3"/>
  <c r="C862" i="3"/>
  <c r="C892" i="3"/>
  <c r="C955" i="3"/>
  <c r="C980" i="3"/>
  <c r="C986" i="3"/>
  <c r="C981" i="3"/>
  <c r="C155" i="3"/>
  <c r="C283" i="3"/>
  <c r="C316" i="3"/>
  <c r="C377" i="3"/>
  <c r="C337" i="3"/>
  <c r="C587" i="3"/>
  <c r="C409" i="3"/>
  <c r="C144" i="3"/>
  <c r="C236" i="3"/>
  <c r="C349" i="3"/>
  <c r="C336" i="3"/>
  <c r="C626" i="3"/>
  <c r="C434" i="3"/>
  <c r="C712" i="3"/>
  <c r="C838" i="3"/>
  <c r="C625" i="3"/>
  <c r="C801" i="3"/>
  <c r="C788" i="3"/>
  <c r="C830" i="3"/>
  <c r="C714" i="3"/>
  <c r="C912" i="3"/>
  <c r="C864" i="3"/>
  <c r="C1002" i="3"/>
  <c r="C1029" i="3"/>
  <c r="C624" i="3"/>
  <c r="C287" i="3"/>
  <c r="C332" i="3"/>
  <c r="C137" i="3"/>
  <c r="C1000" i="3"/>
  <c r="C774" i="3"/>
  <c r="C513" i="3"/>
  <c r="C188" i="3"/>
  <c r="C286" i="3"/>
  <c r="C602" i="3"/>
  <c r="C554" i="3"/>
  <c r="C388" i="3"/>
  <c r="C474" i="3"/>
  <c r="C576" i="3"/>
  <c r="C629" i="3"/>
  <c r="C697" i="3"/>
  <c r="C796" i="3"/>
  <c r="C846" i="3"/>
  <c r="C730" i="3"/>
  <c r="C917" i="3"/>
  <c r="C866" i="3"/>
  <c r="C966" i="3"/>
  <c r="C999" i="3"/>
  <c r="C463" i="3"/>
  <c r="C195" i="3"/>
  <c r="C291" i="3"/>
  <c r="C313" i="3"/>
  <c r="C773" i="3"/>
  <c r="C516" i="3"/>
  <c r="C149" i="3"/>
  <c r="C423" i="3"/>
  <c r="C1086" i="3"/>
  <c r="C661" i="3"/>
  <c r="C314" i="3"/>
  <c r="C445" i="3"/>
  <c r="C768" i="3"/>
  <c r="C152" i="3"/>
  <c r="C202" i="3"/>
  <c r="C240" i="3"/>
  <c r="C290" i="3"/>
  <c r="C524" i="3"/>
  <c r="C758" i="3"/>
  <c r="C562" i="3"/>
  <c r="C685" i="3"/>
  <c r="C390" i="3"/>
  <c r="C438" i="3"/>
  <c r="C488" i="3"/>
  <c r="C592" i="3"/>
  <c r="C873" i="3"/>
  <c r="C639" i="3"/>
  <c r="C845" i="3"/>
  <c r="C812" i="3"/>
  <c r="C859" i="3"/>
  <c r="C738" i="3"/>
  <c r="C920" i="3"/>
  <c r="C870" i="3"/>
  <c r="C1046" i="3"/>
  <c r="C1007" i="3"/>
  <c r="C1045" i="3"/>
  <c r="C219" i="3"/>
  <c r="C97" i="3"/>
  <c r="C1043" i="3"/>
  <c r="C757" i="3"/>
  <c r="C106" i="3"/>
  <c r="C242" i="3"/>
  <c r="C683" i="3"/>
  <c r="C594" i="3"/>
  <c r="C440" i="3"/>
  <c r="C528" i="3"/>
  <c r="C761" i="3"/>
  <c r="C724" i="3"/>
  <c r="C883" i="3"/>
  <c r="C1081" i="3"/>
  <c r="C1003" i="3"/>
  <c r="C1062" i="3"/>
  <c r="C1031" i="3"/>
  <c r="C458" i="3"/>
  <c r="C913" i="3"/>
  <c r="C967" i="3"/>
  <c r="C1009" i="3"/>
  <c r="C1066" i="3"/>
  <c r="C547" i="3"/>
  <c r="C335" i="3"/>
  <c r="C298" i="3"/>
  <c r="C749" i="3"/>
  <c r="C659" i="3"/>
  <c r="C929" i="3"/>
  <c r="C1006" i="3"/>
  <c r="C1060" i="3"/>
  <c r="C531" i="3"/>
  <c r="C351" i="3"/>
  <c r="C172" i="3"/>
  <c r="C781" i="3"/>
  <c r="C959" i="3"/>
  <c r="C940" i="3"/>
  <c r="C1070" i="3"/>
  <c r="C886" i="3"/>
  <c r="C1068" i="3"/>
  <c r="C574" i="3"/>
  <c r="C534" i="3"/>
  <c r="C206" i="3"/>
  <c r="C835" i="3"/>
  <c r="C500" i="3"/>
  <c r="C645" i="3"/>
  <c r="C778" i="3"/>
  <c r="C918" i="3"/>
  <c r="C649" i="3"/>
  <c r="C923" i="3"/>
  <c r="C901" i="3"/>
  <c r="C725" i="3"/>
  <c r="C216" i="3"/>
  <c r="C575" i="3"/>
  <c r="C525" i="3"/>
  <c r="C716" i="3"/>
  <c r="C802" i="3"/>
  <c r="C947" i="3"/>
  <c r="C1077" i="3"/>
  <c r="C467" i="3"/>
  <c r="C177" i="3"/>
  <c r="C334" i="3"/>
  <c r="C330" i="3"/>
  <c r="C112" i="3"/>
  <c r="C258" i="3"/>
  <c r="C92" i="3"/>
  <c r="C614" i="3"/>
  <c r="C444" i="3"/>
  <c r="C597" i="3"/>
  <c r="C605" i="3"/>
  <c r="C769" i="3"/>
  <c r="C823" i="3"/>
  <c r="C891" i="3"/>
  <c r="C1019" i="3"/>
  <c r="C977" i="3"/>
  <c r="C1047" i="3"/>
  <c r="C93" i="3"/>
  <c r="C499" i="3"/>
  <c r="C601" i="3"/>
  <c r="C363" i="3"/>
  <c r="C378" i="3"/>
  <c r="C154" i="3"/>
  <c r="C264" i="3"/>
  <c r="C96" i="3"/>
  <c r="C733" i="3"/>
  <c r="C600" i="3"/>
  <c r="C607" i="3"/>
  <c r="C836" i="3"/>
  <c r="C880" i="3"/>
  <c r="C1052" i="3"/>
  <c r="C521" i="3"/>
  <c r="C395" i="3"/>
  <c r="C385" i="3"/>
  <c r="C156" i="3"/>
  <c r="C130" i="3"/>
  <c r="C492" i="3"/>
  <c r="C619" i="3"/>
  <c r="C1027" i="3"/>
  <c r="C882" i="3"/>
  <c r="C1074" i="3"/>
  <c r="C111" i="3"/>
  <c r="C427" i="3"/>
  <c r="C449" i="3"/>
  <c r="C300" i="3"/>
  <c r="C790" i="3"/>
  <c r="C498" i="3"/>
  <c r="C641" i="3"/>
  <c r="C743" i="3"/>
  <c r="C928" i="3"/>
  <c r="C1082" i="3"/>
  <c r="C119" i="3"/>
  <c r="C165" i="3"/>
  <c r="C461" i="3"/>
  <c r="C302" i="3"/>
  <c r="C404" i="3"/>
  <c r="C990" i="3"/>
  <c r="C751" i="3"/>
  <c r="C949" i="3"/>
  <c r="C211" i="3"/>
  <c r="C91" i="3"/>
  <c r="C197" i="3"/>
  <c r="C693" i="3"/>
  <c r="C465" i="3"/>
  <c r="C210" i="3"/>
  <c r="C588" i="3"/>
  <c r="C408" i="3"/>
  <c r="C808" i="3"/>
  <c r="C603" i="3"/>
  <c r="C708" i="3"/>
  <c r="C759" i="3"/>
  <c r="C794" i="3"/>
  <c r="C952" i="3"/>
  <c r="C1061" i="3"/>
  <c r="C215" i="3"/>
  <c r="C265" i="3"/>
  <c r="C90" i="3"/>
  <c r="C593" i="3"/>
  <c r="C410" i="3"/>
  <c r="C713" i="3"/>
  <c r="C863" i="3"/>
  <c r="C987" i="3"/>
  <c r="C1015" i="3"/>
  <c r="D29" i="3"/>
  <c r="D31" i="3"/>
  <c r="D27" i="3" a="1"/>
  <c r="D27" i="3" s="1"/>
  <c r="D22" i="4" a="1"/>
  <c r="D25" i="4" a="1"/>
  <c r="G14" i="4" a="1"/>
  <c r="F14" i="4" a="1"/>
  <c r="E14" i="4" a="1"/>
  <c r="D14" i="4" a="1"/>
  <c r="D14" i="4" l="1"/>
  <c r="E14" i="4"/>
  <c r="F14" i="4"/>
  <c r="G14" i="4"/>
  <c r="D25" i="4"/>
  <c r="D26" i="4" s="1"/>
  <c r="D22" i="4"/>
  <c r="D23"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<sst xmlns="http://schemas.openxmlformats.org/spreadsheetml/2006/main" count="237" uniqueCount="185">
  <si>
    <t>Envelope Correlation: Interest and Mortgage Rates</t>
  </si>
  <si>
    <t>ModelRisk example  ·  General use  ·  GU-06</t>
  </si>
  <si>
    <t>How do you make one variable follow another when you only know its range at a few points?  The envelope method.</t>
  </si>
  <si>
    <t>Next:  Inputs  ▸</t>
  </si>
  <si>
    <t>Model card</t>
  </si>
  <si>
    <t>Industry</t>
  </si>
  <si>
    <t>General use</t>
  </si>
  <si>
    <t>Difficulty</t>
  </si>
  <si>
    <t>★★☆☆☆   Correlating two variables from expert ranges: the second's range follows the first.</t>
  </si>
  <si>
    <t>Business question</t>
  </si>
  <si>
    <t>A bank models next year's base interest rate as PERT(3%, 5%, 8%) and needs the mortgage rate to move with it, but not by a fixed margin: its experts can only say what range the mortgage rate would have at a low, a middle and a high interest rate. How can the two be correlated from that, and what does the mortgage rate then look like?</t>
  </si>
  <si>
    <t>Who it is for</t>
  </si>
  <si>
    <t>Analysts who need to correlate two variables from expert judgement rather than data.</t>
  </si>
  <si>
    <t>Main outputs</t>
  </si>
  <si>
    <t>The mortgage rate and the spread over the interest rate at P10 / median / P90 · their rank correlation · the mortgage rate when interest rates are low or high · a chart of the envelope and of 1,000 simulated pairs.</t>
  </si>
  <si>
    <t>ModelRisk techniques</t>
  </si>
  <si>
    <t>The envelope method: the second variable's minimum, most likely and maximum as curves of the first (the parabola through three expert points), and a PERT drawn between them · VoseSimValue to plot simulated pairs · VoseSimCorrelation.</t>
  </si>
  <si>
    <t>File</t>
  </si>
  <si>
    <t>GU-06 Envelope correlation interest and mortgage rates  ·  Version 1.0  ·  October 2026  ·  re-issues the example Correlating Interest and Mortgage Rates  ·  built with ModelRisk 10</t>
  </si>
  <si>
    <t>The business question</t>
  </si>
  <si>
    <t>A bank's treasury models next year's base interest rate as a PERT distribution from 3% to 8%, most likely 5%. Mortgage rates follow interest rates, but loosely: the margin changes with competition and with the rate itself. The experts give three statements: if the interest rate is 3%, the mortgage rate will be between 6% and 10%, most likely 8%; at 5% between 7.7% and 12.8%, most likely 10.3%; at 8% between 10% and 15.9%, most likely 13.3%. The envelope method draws a curve through each set of three points, so that every interest rate has a minimum, a most likely and a maximum mortgage rate, and draws the mortgage rate from a PERT between them.</t>
  </si>
  <si>
    <t>How the model works</t>
  </si>
  <si>
    <t>Three sheets after this one, read from left to right. Each one feeds the next.</t>
  </si>
  <si>
    <t>1  Inputs</t>
  </si>
  <si>
    <t>The base interest rate as a PERT, and the limits below and above which an interest rate counts as low or high on the Results sheet.</t>
  </si>
  <si>
    <t>2  Rates</t>
  </si>
  <si>
    <t>The envelope table gives the mortgage rate's minimum, most likely and maximum at three interest rates. Lagrange's formula gives the parabola through each set of three points, which gives the range at this iteration's interest rate; VosePERT draws the mortgage rate in it. The chart shows the three curves and 1,000 simulated pairs.</t>
  </si>
  <si>
    <t>3  Results</t>
  </si>
  <si>
    <t>Percentiles of the interest rate, the mortgage rate and the spread; their rank correlation; the mean mortgage rate in iterations with a low or a high interest rate.</t>
  </si>
  <si>
    <t>How to use it</t>
  </si>
  <si>
    <t>Step 1</t>
  </si>
  <si>
    <t>Set the interest rate's range on the Inputs sheet.</t>
  </si>
  <si>
    <t>Step 2</t>
  </si>
  <si>
    <t>Replace the envelope on the Rates sheet with your experts' ranges at three interest rates.</t>
  </si>
  <si>
    <t>Step 3</t>
  </si>
  <si>
    <t>Run a simulation from the ModelRisk ribbon (10,000 samples with a fixed seed are set).</t>
  </si>
  <si>
    <t>Step 4</t>
  </si>
  <si>
    <t>Check the chart: every simulated pair should sit inside the envelope, and the envelope should look plausible.</t>
  </si>
  <si>
    <t>Workbook map</t>
  </si>
  <si>
    <t>Inputs</t>
  </si>
  <si>
    <t>The interest rate's range and the low and high limits.</t>
  </si>
  <si>
    <t>Rates</t>
  </si>
  <si>
    <t>The envelope, this iteration's mortgage rate, outputs, checks and the chart.</t>
  </si>
  <si>
    <t>Results</t>
  </si>
  <si>
    <t>Percentiles, correlation and conditional means.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</si>
  <si>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</si>
  <si>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</si>
  <si>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</si>
  <si>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</si>
  <si>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</si>
  <si>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</si>
  <si>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</si>
  <si>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</si>
  <si>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</si>
  <si>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</si>
  <si>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</si>
  <si>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</si>
  <si>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Annual rates, in percent.</t>
  </si>
  <si>
    <t>Spread</t>
  </si>
  <si>
    <t>Mortgage rate minus interest rate.</t>
  </si>
  <si>
    <t>Envelope</t>
  </si>
  <si>
    <t>The minimum and maximum curves within which the second variable is drawn.</t>
  </si>
  <si>
    <t>Key assumptions and limitations</t>
  </si>
  <si>
    <t>Quadratic curves</t>
  </si>
  <si>
    <t>Each curve is the parabola through the experts' three points, as in the original example. Outside the three interest rates it is an extrapolation: keep the interest rate's range inside them (a model check does).</t>
  </si>
  <si>
    <t>PERT</t>
  </si>
  <si>
    <t>Within its range the mortgage rate is a PERT; the interest rate is the only link between the two.</t>
  </si>
  <si>
    <t>Data</t>
  </si>
  <si>
    <t>The rates are those of ModelRisk's earlier Correlating Interest and Mortgage Rates example.</t>
  </si>
  <si>
    <t>ModelRisk functions used</t>
  </si>
  <si>
    <t>VosePERT</t>
  </si>
  <si>
    <t>The interest rate, and the mortgage rate within this iteration's envelope.</t>
  </si>
  <si>
    <t>Lagrange's formula</t>
  </si>
  <si>
    <t>The parabola through the experts' three points, written as plain arithmetic.</t>
  </si>
  <si>
    <t>VoseInput, VoseOutput</t>
  </si>
  <si>
    <t>Name the two rates and the spread.</t>
  </si>
  <si>
    <t>VoseSimValue</t>
  </si>
  <si>
    <t>The chart's simulated pairs: the values of the first 1,000 iterations.</t>
  </si>
  <si>
    <t>VoseSimCorrelation</t>
  </si>
  <si>
    <t>The rank correlation between the two rates.</t>
  </si>
  <si>
    <t>VoseSimMean, VoseSimPercentile</t>
  </si>
  <si>
    <t>Statistics of the simulation.</t>
  </si>
  <si>
    <t>Further reading</t>
  </si>
  <si>
    <t>Envelope method</t>
  </si>
  <si>
    <t>Vose, D. (2008). Risk Analysis: A Quantitative Guide, 3rd edition. Wiley: modelling dependencies with the envelope method.</t>
  </si>
  <si>
    <t>© 2026 Vose Software   ·   www.vosesoftware.com   ·   An illustrative example: the figures are invented for teaching and do not describe a real company, project or asset.</t>
  </si>
  <si>
    <t>INPUTS   ·   The interest rate's range and the limits for low and high rates. The experts' envelope is on the Rates sheet. Change only the yellow cells.</t>
  </si>
  <si>
    <t>◂  About</t>
  </si>
  <si>
    <t>Next:  Rates  ▸</t>
  </si>
  <si>
    <t>How to read this sheet:  yellow cells are inputs.  Orange cells hold ModelRisk distributions and show the current random sample (press F9 to draw again).  Low / Most likely / High are the minimum, most likely and maximum for PERT.  Mean is the distribution's average (VoseMean); it shows ✗ if a range is out of order.</t>
  </si>
  <si>
    <t>1   Interest rate</t>
  </si>
  <si>
    <t>Next year's base interest rate.</t>
  </si>
  <si>
    <t>Assumption</t>
  </si>
  <si>
    <t>Unit</t>
  </si>
  <si>
    <t>Value in model</t>
  </si>
  <si>
    <t>Uncertainty</t>
  </si>
  <si>
    <t>Low</t>
  </si>
  <si>
    <t>Most likely</t>
  </si>
  <si>
    <t>High</t>
  </si>
  <si>
    <t>Mean</t>
  </si>
  <si>
    <t>Basis / source (illustrative)</t>
  </si>
  <si>
    <t>Base interest rate</t>
  </si>
  <si>
    <t>rate</t>
  </si>
  <si>
    <t>Keep it inside the envelope's three rates.</t>
  </si>
  <si>
    <t>2   Low and high interest rates</t>
  </si>
  <si>
    <t>Used only on the Results sheet, to compare the mortgage rate when interest rates are low or high.</t>
  </si>
  <si>
    <t>An interest rate below this is low</t>
  </si>
  <si>
    <t>Fixed</t>
  </si>
  <si>
    <t>An interest rate above this is high</t>
  </si>
  <si>
    <t>RATES   ·   The experts' envelope, this iteration's mortgage rate, and the envelope with 1,000 simulated pairs.</t>
  </si>
  <si>
    <t>◂  Inputs</t>
  </si>
  <si>
    <t>Next:  Results  ▸</t>
  </si>
  <si>
    <t>1   The envelope</t>
  </si>
  <si>
    <t>Yellow cells are inputs: the mortgage rate's range at three interest rates, from the experts.</t>
  </si>
  <si>
    <t>If the interest rate is</t>
  </si>
  <si>
    <t>the mortgage rate will be</t>
  </si>
  <si>
    <t>minimum</t>
  </si>
  <si>
    <t>most likely</t>
  </si>
  <si>
    <t>maximum</t>
  </si>
  <si>
    <t>Three statements from the experts</t>
  </si>
  <si>
    <t>2   This iteration</t>
  </si>
  <si>
    <t>The mortgage rate's range at this iteration's interest rate, and the rate drawn in it.</t>
  </si>
  <si>
    <t>From the Inputs sheet</t>
  </si>
  <si>
    <t>Mortgage rate: minimum at this interest rate</t>
  </si>
  <si>
    <t>The parabola through the three points of its column: Lagrange's formula</t>
  </si>
  <si>
    <t>Mortgage rate: most likely at this interest rate</t>
  </si>
  <si>
    <t>Mortgage rate: maximum at this interest rate</t>
  </si>
  <si>
    <t>Mortgage rate</t>
  </si>
  <si>
    <t>VosePERT(minimum, most likely, maximum) within this iteration's envelope</t>
  </si>
  <si>
    <t>3   Value in this iteration</t>
  </si>
  <si>
    <t>Key outputs, recorded by ModelRisk at every sample (VoseOutput). Their statistics appear on the Results sheet.</t>
  </si>
  <si>
    <t>Output</t>
  </si>
  <si>
    <t>Value</t>
  </si>
  <si>
    <t>Meaning</t>
  </si>
  <si>
    <t>Interest rate</t>
  </si>
  <si>
    <t>Spread  (mortgage − interest)</t>
  </si>
  <si>
    <t>Interest rate low?  (1 = yes)</t>
  </si>
  <si>
    <t>1 / 0</t>
  </si>
  <si>
    <t>Mortgage rate if the interest rate is low  (else 0)</t>
  </si>
  <si>
    <t>Interest rate high?  (1 = yes)</t>
  </si>
  <si>
    <t>Mortgage rate if the interest rate is high  (else 0)</t>
  </si>
  <si>
    <t>4   Model checks</t>
  </si>
  <si>
    <t>Should all read OK. A CHECK means an input has been set outside the range the model is built for.</t>
  </si>
  <si>
    <t>The envelope's three interest rates increase</t>
  </si>
  <si>
    <t>Each envelope row is in order  (minimum ≤ most likely ≤ maximum)</t>
  </si>
  <si>
    <t>The interest rate's range lies within the envelope's rates</t>
  </si>
  <si>
    <t>The curves stay in order at this interest rate</t>
  </si>
  <si>
    <t>5   The envelope and 1,000 simulated pairs</t>
  </si>
  <si>
    <t>Each point is one iteration (VoseSimValue). The curves are the envelope's minimum, most likely and maximum.</t>
  </si>
  <si>
    <t>Chart data  (grouped: click + to show)</t>
  </si>
  <si>
    <t>Simulated mortgage rate</t>
  </si>
  <si>
    <t>Minimum</t>
  </si>
  <si>
    <t>Maximum</t>
  </si>
  <si>
    <t>RESULTS   ·   Filled in automatically from the last simulation. Run a simulation after changing any input.</t>
  </si>
  <si>
    <t>◂  Rates</t>
  </si>
  <si>
    <t>1   Interest and mortgage rates</t>
  </si>
  <si>
    <t>The two rates — cumulative distributions</t>
  </si>
  <si>
    <t>Percentiles of the two rates and of the spread between them.</t>
  </si>
  <si>
    <t>Measure</t>
  </si>
  <si>
    <t>10th pct</t>
  </si>
  <si>
    <t>Median</t>
  </si>
  <si>
    <t>90th pct</t>
  </si>
  <si>
    <t>Rank correlation of the two rates</t>
  </si>
  <si>
    <t>2   The mortgage rate when interest rates are low or high</t>
  </si>
  <si>
    <t>Mean mortgage rate over the iterations in which the interest rate is below or above the limits on the Inputs sheet.</t>
  </si>
  <si>
    <t>Chance of a low interest rate</t>
  </si>
  <si>
    <t>probability</t>
  </si>
  <si>
    <t>Mean of mortgage rate × (low)</t>
  </si>
  <si>
    <t>Mean mortgage rate when the interest rate is low</t>
  </si>
  <si>
    <t>Chance of a high interest rate</t>
  </si>
  <si>
    <t>Mean of mortgage rate × (high)</t>
  </si>
  <si>
    <t>Mean mortgage rate when the interest rate is high</t>
  </si>
  <si>
    <t>Mean mortgage rate over all iterations</t>
  </si>
  <si>
    <t>3   How to read these results</t>
  </si>
  <si>
    <t>•  The envelope makes the mortgage rate's whole range move with the interest rate, so the two are strongly but not perfectly related: a rank correlation of about 0.7. The chart on the Rates sheet shows every simulated pair inside the envelope.</t>
  </si>
  <si>
    <t>•  When the interest rate is low the mortgage rate averages about 8.8%; when it is high, about 11.8%. A single correlation coefficient would not tell you that the range itself widens as rates rise.</t>
  </si>
  <si>
    <t>•  The envelope is the experts' knowledge written down: three ranges are easier to give than a correlation coefficient, and they keep impossible pairs (a 6% mortgage with an 8% interest rate) out of the model.</t>
  </si>
  <si>
    <t>•  The curves are parabolas through three points. Keep the interest rate's range inside the experts' three rates, where they are interpolated rather than extrapolated.</t>
  </si>
  <si>
    <t>Chart data</t>
  </si>
  <si>
    <t>Statistics of the last simulation behind the charts and the ranking above. Grouped: click + in the left margin to show them.</t>
  </si>
  <si>
    <t>Cumulative probability</t>
  </si>
  <si>
    <t>Exceedance</t>
  </si>
  <si>
    <t>InterestOut</t>
  </si>
  <si>
    <t>MortgageOut</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</si>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</sst>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0%;0.00%;&quot;–&quot;"/>
    <numFmt numFmtId="166" formatCode="0.00;\-0.00;0.00;&quot;–&quot;"/>
    <numFmt numFmtId="167" formatCode="0.0%;\-0.0%;0.0%;&quot;–&quot;"/>
  </numFmts>
  <fonts count="23"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sz val="10"/>
      <color rgb="FF8AA0BA"/>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62">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2" fillId="3" borderId="7" xfId="2" applyNumberFormat="1" applyBorder="1">
      <alignment horizontal="right" vertical="center"/>
    </xf>
    <xf numFmtId="164" fontId="1" fillId="2" borderId="7" xfId="1" applyNumberFormat="1" applyBorder="1">
      <alignment horizontal="right" vertical="center"/>
    </xf>
    <xf numFmtId="164" fontId="3" fillId="0" borderId="8" xfId="3" applyNumberFormat="1" applyBorder="1">
      <alignment horizontal="right" vertical="center"/>
    </xf>
    <xf numFmtId="0" fontId="18" fillId="0" borderId="6" xfId="0" applyFont="1" applyBorder="1" applyAlignment="1">
      <alignment horizontal="left" vertical="center" wrapText="1" indent="1"/>
    </xf>
    <xf numFmtId="0" fontId="0" fillId="0" borderId="6" xfId="0" applyBorder="1"/>
    <xf numFmtId="0" fontId="17" fillId="7" borderId="2" xfId="0" applyFont="1" applyFill="1" applyBorder="1" applyAlignment="1">
      <alignment horizontal="left" vertical="center" indent="1"/>
    </xf>
    <xf numFmtId="0" fontId="0" fillId="7" borderId="2" xfId="0" applyFill="1" applyBorder="1"/>
    <xf numFmtId="0" fontId="19" fillId="7" borderId="4" xfId="0" applyFont="1" applyFill="1" applyBorder="1" applyAlignment="1">
      <alignment horizontal="right" vertical="center"/>
    </xf>
    <xf numFmtId="164" fontId="1" fillId="2" borderId="7" xfId="1" applyNumberFormat="1" applyBorder="1" applyAlignment="1">
      <alignment horizontal="left" vertical="center" indent="1"/>
    </xf>
    <xf numFmtId="10" fontId="3" fillId="0" borderId="8" xfId="3" applyNumberFormat="1" applyBorder="1">
      <alignment horizontal="right" vertical="center"/>
    </xf>
    <xf numFmtId="10" fontId="2" fillId="3" borderId="7" xfId="2"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0" fontId="4" fillId="4" borderId="9" xfId="4" applyNumberFormat="1" applyBorder="1">
      <alignment horizontal="right" vertical="center"/>
    </xf>
    <xf numFmtId="1" fontId="3" fillId="0" borderId="8" xfId="3" applyNumberFormat="1" applyBorder="1">
      <alignment horizontal="right" vertical="center"/>
    </xf>
    <xf numFmtId="0" fontId="20" fillId="0" borderId="6" xfId="0" applyFont="1" applyBorder="1" applyAlignment="1">
      <alignment horizontal="center" vertical="center"/>
    </xf>
    <xf numFmtId="0" fontId="21" fillId="0" borderId="0" xfId="0" applyFont="1" applyAlignment="1">
      <alignment horizontal="left" vertical="center" indent="1"/>
    </xf>
    <xf numFmtId="0" fontId="17" fillId="0" borderId="0" xfId="0" applyFont="1"/>
    <xf numFmtId="10" fontId="3" fillId="0" borderId="2" xfId="3" applyNumberFormat="1">
      <alignment horizontal="right" vertical="center"/>
    </xf>
    <xf numFmtId="10" fontId="1" fillId="5" borderId="1" xfId="5" applyNumberFormat="1">
      <alignment horizontal="right"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2" fillId="0" borderId="5" xfId="0" applyFont="1" applyBorder="1"/>
    <xf numFmtId="165" fontId="1" fillId="5" borderId="7" xfId="5" applyNumberFormat="1" applyBorder="1">
      <alignment horizontal="right" vertical="center"/>
    </xf>
    <xf numFmtId="0" fontId="12" fillId="0" borderId="6" xfId="0" applyFont="1" applyBorder="1" applyAlignment="1">
      <alignment horizontal="left" vertical="center" indent="1"/>
    </xf>
    <xf numFmtId="166" fontId="1" fillId="5" borderId="7" xfId="5" applyNumberFormat="1" applyBorder="1">
      <alignment horizontal="right" vertical="center"/>
    </xf>
    <xf numFmtId="167" fontId="1" fillId="5" borderId="7" xfId="5"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5">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Simulated pairs</c:v>
          </c:tx>
          <c:spPr>
            <a:ln>
              <a:noFill/>
              <a:prstDash val="solid"/>
            </a:ln>
          </c:spPr>
          <c:marker>
            <c:symbol val="circle"/>
            <c:size val="3"/>
            <c:spPr>
              <a:solidFill>
                <a:srgbClr val="0E4F92"/>
              </a:solidFill>
              <a:ln>
                <a:solidFill>
                  <a:srgbClr val="0E4F92"/>
                </a:solidFill>
                <a:prstDash val="solid"/>
              </a:ln>
            </c:spPr>
          </c:marker>
          <c:xVal>
            <c:numRef>
              <c:f>Rates!$B$66:$B$1086</c:f>
              <c:numCache>
                <c:formatCode>0.00%</c:formatCode>
                <c:ptCount val="1021"/>
                <c:pt idx="0">
                  <c:v>0.03</c:v>
                </c:pt>
                <c:pt idx="1">
                  <c:v>3.2500000000000001E-2</c:v>
                </c:pt>
                <c:pt idx="2">
                  <c:v>3.5000000000000003E-2</c:v>
                </c:pt>
                <c:pt idx="3">
                  <c:v>3.7499999999999999E-2</c:v>
                </c:pt>
                <c:pt idx="4">
                  <c:v>0.04</c:v>
                </c:pt>
                <c:pt idx="5">
                  <c:v>4.2500000000000003E-2</c:v>
                </c:pt>
                <c:pt idx="6">
                  <c:v>4.4999999999999998E-2</c:v>
                </c:pt>
                <c:pt idx="7">
                  <c:v>4.7500000000000001E-2</c:v>
                </c:pt>
                <c:pt idx="8">
                  <c:v>0.05</c:v>
                </c:pt>
                <c:pt idx="9">
                  <c:v>5.2499999999999998E-2</c:v>
                </c:pt>
                <c:pt idx="10">
                  <c:v>5.5E-2</c:v>
                </c:pt>
                <c:pt idx="11">
                  <c:v>5.7500000000000002E-2</c:v>
                </c:pt>
                <c:pt idx="12">
                  <c:v>0.06</c:v>
                </c:pt>
                <c:pt idx="13">
                  <c:v>6.25E-2</c:v>
                </c:pt>
                <c:pt idx="14">
                  <c:v>6.5000000000000002E-2</c:v>
                </c:pt>
                <c:pt idx="15">
                  <c:v>6.7500000000000004E-2</c:v>
                </c:pt>
                <c:pt idx="16">
                  <c:v>7.0000000000000007E-2</c:v>
                </c:pt>
                <c:pt idx="17">
                  <c:v>7.2500000000000009E-2</c:v>
                </c:pt>
                <c:pt idx="18">
                  <c:v>7.4999999999999997E-2</c:v>
                </c:pt>
                <c:pt idx="19">
                  <c:v>7.7499999999999999E-2</c:v>
                </c:pt>
                <c:pt idx="20">
                  <c:v>0.08</c:v>
                </c:pt>
                <c:pt idx="21">
                  <c:v>4.9095203925873465E-2</c:v>
                </c:pt>
                <c:pt idx="22">
                  <c:v>7.5044823702192703E-2</c:v>
                </c:pt>
                <c:pt idx="23">
                  <c:v>5.7472039872446534E-2</c:v>
                </c:pt>
                <c:pt idx="24">
                  <c:v>6.6437038087169553E-2</c:v>
                </c:pt>
                <c:pt idx="25">
                  <c:v>3.0614617404349911E-2</c:v>
                </c:pt>
                <c:pt idx="26">
                  <c:v>4.0552836157230314E-2</c:v>
                </c:pt>
                <c:pt idx="27">
                  <c:v>4.6017472822477146E-2</c:v>
                </c:pt>
                <c:pt idx="28">
                  <c:v>7.6428077290444402E-2</c:v>
                </c:pt>
                <c:pt idx="29">
                  <c:v>4.123626055264875E-2</c:v>
                </c:pt>
                <c:pt idx="30">
                  <c:v>4.4119502155034698E-2</c:v>
                </c:pt>
                <c:pt idx="31">
                  <c:v>3.9100827243553543E-2</c:v>
                </c:pt>
                <c:pt idx="32">
                  <c:v>4.855679520209448E-2</c:v>
                </c:pt>
                <c:pt idx="33">
                  <c:v>4.2575636338402702E-2</c:v>
                </c:pt>
                <c:pt idx="34">
                  <c:v>4.83276286013955E-2</c:v>
                </c:pt>
                <c:pt idx="35">
                  <c:v>4.7197764737217818E-2</c:v>
                </c:pt>
                <c:pt idx="36">
                  <c:v>5.5939237935619668E-2</c:v>
                </c:pt>
                <c:pt idx="37">
                  <c:v>4.8561725195763593E-2</c:v>
                </c:pt>
                <c:pt idx="38">
                  <c:v>6.6641000710494488E-2</c:v>
                </c:pt>
                <c:pt idx="39">
                  <c:v>5.2302104463853971E-2</c:v>
                </c:pt>
                <c:pt idx="40">
                  <c:v>6.1970660571174514E-2</c:v>
                </c:pt>
                <c:pt idx="41">
                  <c:v>4.9152303295972366E-2</c:v>
                </c:pt>
                <c:pt idx="42">
                  <c:v>4.6319542595019969E-2</c:v>
                </c:pt>
                <c:pt idx="43">
                  <c:v>5.6397674326101335E-2</c:v>
                </c:pt>
                <c:pt idx="44">
                  <c:v>5.1922549432721954E-2</c:v>
                </c:pt>
                <c:pt idx="45">
                  <c:v>4.3154628120470495E-2</c:v>
                </c:pt>
                <c:pt idx="46">
                  <c:v>4.9788898675703602E-2</c:v>
                </c:pt>
                <c:pt idx="47">
                  <c:v>6.3391442067446346E-2</c:v>
                </c:pt>
                <c:pt idx="48">
                  <c:v>4.3924697450954543E-2</c:v>
                </c:pt>
                <c:pt idx="49">
                  <c:v>3.5401382078426108E-2</c:v>
                </c:pt>
                <c:pt idx="50">
                  <c:v>5.2184772841892366E-2</c:v>
                </c:pt>
                <c:pt idx="51">
                  <c:v>5.5960431340812411E-2</c:v>
                </c:pt>
                <c:pt idx="52">
                  <c:v>6.5273161469414448E-2</c:v>
                </c:pt>
                <c:pt idx="53">
                  <c:v>4.9102637888722683E-2</c:v>
                </c:pt>
                <c:pt idx="54">
                  <c:v>5.0149414295728563E-2</c:v>
                </c:pt>
                <c:pt idx="55">
                  <c:v>5.2834426514502042E-2</c:v>
                </c:pt>
                <c:pt idx="56">
                  <c:v>4.9454377923620348E-2</c:v>
                </c:pt>
                <c:pt idx="57">
                  <c:v>4.1007074452037273E-2</c:v>
                </c:pt>
                <c:pt idx="58">
                  <c:v>6.6894246467038981E-2</c:v>
                </c:pt>
                <c:pt idx="59">
                  <c:v>4.2954759033927474E-2</c:v>
                </c:pt>
                <c:pt idx="60">
                  <c:v>5.9387064650646901E-2</c:v>
                </c:pt>
                <c:pt idx="61">
                  <c:v>6.0186419939137079E-2</c:v>
                </c:pt>
                <c:pt idx="62">
                  <c:v>5.7335897948424891E-2</c:v>
                </c:pt>
                <c:pt idx="63">
                  <c:v>6.9417045331389746E-2</c:v>
                </c:pt>
                <c:pt idx="64">
                  <c:v>6.0260517192941579E-2</c:v>
                </c:pt>
                <c:pt idx="65">
                  <c:v>4.6323684980288805E-2</c:v>
                </c:pt>
                <c:pt idx="66">
                  <c:v>3.9121102537512116E-2</c:v>
                </c:pt>
                <c:pt idx="67">
                  <c:v>5.6611007420773581E-2</c:v>
                </c:pt>
                <c:pt idx="68">
                  <c:v>5.1753024229332131E-2</c:v>
                </c:pt>
                <c:pt idx="69">
                  <c:v>6.3309299598229313E-2</c:v>
                </c:pt>
                <c:pt idx="70">
                  <c:v>6.2784256460347077E-2</c:v>
                </c:pt>
                <c:pt idx="71">
                  <c:v>6.4210722105265017E-2</c:v>
                </c:pt>
                <c:pt idx="72">
                  <c:v>6.1269909563748941E-2</c:v>
                </c:pt>
                <c:pt idx="73">
                  <c:v>3.8774186704191652E-2</c:v>
                </c:pt>
                <c:pt idx="74">
                  <c:v>6.1288051553864874E-2</c:v>
                </c:pt>
                <c:pt idx="75">
                  <c:v>3.6269086469247494E-2</c:v>
                </c:pt>
                <c:pt idx="76">
                  <c:v>4.5194933714292652E-2</c:v>
                </c:pt>
                <c:pt idx="77">
                  <c:v>4.2033946200817768E-2</c:v>
                </c:pt>
                <c:pt idx="78">
                  <c:v>3.7491185494053329E-2</c:v>
                </c:pt>
                <c:pt idx="79">
                  <c:v>6.3392638261468626E-2</c:v>
                </c:pt>
                <c:pt idx="80">
                  <c:v>5.5962210321813186E-2</c:v>
                </c:pt>
                <c:pt idx="81">
                  <c:v>3.936075880092748E-2</c:v>
                </c:pt>
                <c:pt idx="82">
                  <c:v>5.3768201781880631E-2</c:v>
                </c:pt>
                <c:pt idx="83">
                  <c:v>4.9202568943766331E-2</c:v>
                </c:pt>
                <c:pt idx="84">
                  <c:v>5.5995325144422098E-2</c:v>
                </c:pt>
                <c:pt idx="85">
                  <c:v>6.8396620122530671E-2</c:v>
                </c:pt>
                <c:pt idx="86">
                  <c:v>4.8957553285945421E-2</c:v>
                </c:pt>
                <c:pt idx="87">
                  <c:v>5.2151534112082995E-2</c:v>
                </c:pt>
                <c:pt idx="88">
                  <c:v>4.2937321351218881E-2</c:v>
                </c:pt>
                <c:pt idx="89">
                  <c:v>5.6597570956328287E-2</c:v>
                </c:pt>
                <c:pt idx="90">
                  <c:v>4.5663355779551051E-2</c:v>
                </c:pt>
                <c:pt idx="91">
                  <c:v>4.638113765279827E-2</c:v>
                </c:pt>
                <c:pt idx="92">
                  <c:v>4.1069873100057816E-2</c:v>
                </c:pt>
                <c:pt idx="93">
                  <c:v>5.6436020474488299E-2</c:v>
                </c:pt>
                <c:pt idx="94">
                  <c:v>5.9559673014021944E-2</c:v>
                </c:pt>
                <c:pt idx="95">
                  <c:v>6.1489371595022151E-2</c:v>
                </c:pt>
                <c:pt idx="96">
                  <c:v>4.8977310561303861E-2</c:v>
                </c:pt>
                <c:pt idx="97">
                  <c:v>3.4569972139296495E-2</c:v>
                </c:pt>
                <c:pt idx="98">
                  <c:v>3.5925680751159539E-2</c:v>
                </c:pt>
                <c:pt idx="99">
                  <c:v>5.8430324831753977E-2</c:v>
                </c:pt>
                <c:pt idx="100">
                  <c:v>5.4627621244857566E-2</c:v>
                </c:pt>
                <c:pt idx="101">
                  <c:v>7.2415863743570813E-2</c:v>
                </c:pt>
                <c:pt idx="102">
                  <c:v>5.5673059001754316E-2</c:v>
                </c:pt>
                <c:pt idx="103">
                  <c:v>5.8365221554226188E-2</c:v>
                </c:pt>
                <c:pt idx="104">
                  <c:v>4.5910905265858289E-2</c:v>
                </c:pt>
                <c:pt idx="105">
                  <c:v>4.5404767033535992E-2</c:v>
                </c:pt>
                <c:pt idx="106">
                  <c:v>4.9859203389088419E-2</c:v>
                </c:pt>
                <c:pt idx="107">
                  <c:v>5.9771276160199852E-2</c:v>
                </c:pt>
                <c:pt idx="108">
                  <c:v>4.369946305717462E-2</c:v>
                </c:pt>
                <c:pt idx="109">
                  <c:v>3.9566403307189309E-2</c:v>
                </c:pt>
                <c:pt idx="110">
                  <c:v>3.8221473040526359E-2</c:v>
                </c:pt>
                <c:pt idx="111">
                  <c:v>4.990531771934785E-2</c:v>
                </c:pt>
                <c:pt idx="112">
                  <c:v>5.0464981320151286E-2</c:v>
                </c:pt>
                <c:pt idx="113">
                  <c:v>6.4965686294495228E-2</c:v>
                </c:pt>
                <c:pt idx="114">
                  <c:v>3.9267569764450873E-2</c:v>
                </c:pt>
                <c:pt idx="115">
                  <c:v>4.577484905032899E-2</c:v>
                </c:pt>
                <c:pt idx="116">
                  <c:v>6.4676308085804907E-2</c:v>
                </c:pt>
                <c:pt idx="117">
                  <c:v>4.5611332894319179E-2</c:v>
                </c:pt>
                <c:pt idx="118">
                  <c:v>4.0221470327401546E-2</c:v>
                </c:pt>
                <c:pt idx="119">
                  <c:v>4.0624572616726522E-2</c:v>
                </c:pt>
                <c:pt idx="120">
                  <c:v>5.1929215528767239E-2</c:v>
                </c:pt>
                <c:pt idx="121">
                  <c:v>3.4679039997674424E-2</c:v>
                </c:pt>
                <c:pt idx="122">
                  <c:v>3.8708999215284409E-2</c:v>
                </c:pt>
                <c:pt idx="123">
                  <c:v>5.6207523888816002E-2</c:v>
                </c:pt>
                <c:pt idx="124">
                  <c:v>6.5443999900598515E-2</c:v>
                </c:pt>
                <c:pt idx="125">
                  <c:v>4.3377785506310773E-2</c:v>
                </c:pt>
                <c:pt idx="126">
                  <c:v>6.5070617026444649E-2</c:v>
                </c:pt>
                <c:pt idx="127">
                  <c:v>4.4980349190982503E-2</c:v>
                </c:pt>
                <c:pt idx="128">
                  <c:v>4.5922997782372021E-2</c:v>
                </c:pt>
                <c:pt idx="129">
                  <c:v>5.1051644776888158E-2</c:v>
                </c:pt>
                <c:pt idx="130">
                  <c:v>5.3530726095567534E-2</c:v>
                </c:pt>
                <c:pt idx="131">
                  <c:v>3.7161176306201187E-2</c:v>
                </c:pt>
                <c:pt idx="132">
                  <c:v>5.302912059322671E-2</c:v>
                </c:pt>
                <c:pt idx="133">
                  <c:v>5.3251227992995157E-2</c:v>
                </c:pt>
                <c:pt idx="134">
                  <c:v>5.4345313767593835E-2</c:v>
                </c:pt>
                <c:pt idx="135">
                  <c:v>4.1235286528799819E-2</c:v>
                </c:pt>
                <c:pt idx="136">
                  <c:v>6.8275654070123204E-2</c:v>
                </c:pt>
                <c:pt idx="137">
                  <c:v>5.3665127460621423E-2</c:v>
                </c:pt>
                <c:pt idx="138">
                  <c:v>4.4848857456537862E-2</c:v>
                </c:pt>
                <c:pt idx="139">
                  <c:v>5.6836423026730407E-2</c:v>
                </c:pt>
                <c:pt idx="140">
                  <c:v>4.3967878086295167E-2</c:v>
                </c:pt>
                <c:pt idx="141">
                  <c:v>3.9529169425366689E-2</c:v>
                </c:pt>
                <c:pt idx="142">
                  <c:v>5.2159071749230027E-2</c:v>
                </c:pt>
                <c:pt idx="143">
                  <c:v>4.9017217023118689E-2</c:v>
                </c:pt>
                <c:pt idx="144">
                  <c:v>6.7717566356796613E-2</c:v>
                </c:pt>
                <c:pt idx="145">
                  <c:v>5.6673768079107442E-2</c:v>
                </c:pt>
                <c:pt idx="146">
                  <c:v>5.1090758807336809E-2</c:v>
                </c:pt>
                <c:pt idx="147">
                  <c:v>4.9020459276502379E-2</c:v>
                </c:pt>
                <c:pt idx="148">
                  <c:v>5.2349698524968152E-2</c:v>
                </c:pt>
                <c:pt idx="149">
                  <c:v>3.6961246488464571E-2</c:v>
                </c:pt>
                <c:pt idx="150">
                  <c:v>5.8943306632096501E-2</c:v>
                </c:pt>
                <c:pt idx="151">
                  <c:v>5.2224257995227327E-2</c:v>
                </c:pt>
                <c:pt idx="152">
                  <c:v>3.6679397107174022E-2</c:v>
                </c:pt>
                <c:pt idx="153">
                  <c:v>5.5765056802164897E-2</c:v>
                </c:pt>
                <c:pt idx="154">
                  <c:v>4.0991777200581538E-2</c:v>
                </c:pt>
                <c:pt idx="155">
                  <c:v>5.1666650073676171E-2</c:v>
                </c:pt>
                <c:pt idx="156">
                  <c:v>5.9883274683693873E-2</c:v>
                </c:pt>
                <c:pt idx="157">
                  <c:v>6.7298233899929769E-2</c:v>
                </c:pt>
                <c:pt idx="158">
                  <c:v>3.5595249698030448E-2</c:v>
                </c:pt>
                <c:pt idx="159">
                  <c:v>5.3589884941023583E-2</c:v>
                </c:pt>
                <c:pt idx="160">
                  <c:v>6.3633233843416181E-2</c:v>
                </c:pt>
                <c:pt idx="161">
                  <c:v>6.4678038013544548E-2</c:v>
                </c:pt>
                <c:pt idx="162">
                  <c:v>5.2354708208693354E-2</c:v>
                </c:pt>
                <c:pt idx="163">
                  <c:v>4.0900803920063462E-2</c:v>
                </c:pt>
                <c:pt idx="164">
                  <c:v>4.9907589504075735E-2</c:v>
                </c:pt>
                <c:pt idx="165">
                  <c:v>4.0966660249415768E-2</c:v>
                </c:pt>
                <c:pt idx="166">
                  <c:v>6.4083520234179236E-2</c:v>
                </c:pt>
                <c:pt idx="167">
                  <c:v>6.0432542347111602E-2</c:v>
                </c:pt>
                <c:pt idx="168">
                  <c:v>4.8053880006529021E-2</c:v>
                </c:pt>
                <c:pt idx="169">
                  <c:v>4.8585728987392975E-2</c:v>
                </c:pt>
                <c:pt idx="170">
                  <c:v>5.2291648821684536E-2</c:v>
                </c:pt>
                <c:pt idx="171">
                  <c:v>4.1882833604912961E-2</c:v>
                </c:pt>
                <c:pt idx="172">
                  <c:v>5.5431717362277755E-2</c:v>
                </c:pt>
                <c:pt idx="173">
                  <c:v>6.6103764726137396E-2</c:v>
                </c:pt>
                <c:pt idx="174">
                  <c:v>4.7619020755082016E-2</c:v>
                </c:pt>
                <c:pt idx="175">
                  <c:v>4.7257131060984038E-2</c:v>
                </c:pt>
                <c:pt idx="176">
                  <c:v>5.3166955148294878E-2</c:v>
                </c:pt>
                <c:pt idx="177">
                  <c:v>5.8452349557322356E-2</c:v>
                </c:pt>
                <c:pt idx="178">
                  <c:v>5.5017743379647828E-2</c:v>
                </c:pt>
                <c:pt idx="179">
                  <c:v>5.7650797621234054E-2</c:v>
                </c:pt>
                <c:pt idx="180">
                  <c:v>4.0484226372640549E-2</c:v>
                </c:pt>
                <c:pt idx="181">
                  <c:v>6.3642062555745949E-2</c:v>
                </c:pt>
                <c:pt idx="182">
                  <c:v>5.6547195511650147E-2</c:v>
                </c:pt>
                <c:pt idx="183">
                  <c:v>5.4617573051185711E-2</c:v>
                </c:pt>
                <c:pt idx="184">
                  <c:v>5.5300870354650478E-2</c:v>
                </c:pt>
                <c:pt idx="185">
                  <c:v>5.8456651309245378E-2</c:v>
                </c:pt>
                <c:pt idx="186">
                  <c:v>4.7422967998688205E-2</c:v>
                </c:pt>
                <c:pt idx="187">
                  <c:v>4.7287592842392021E-2</c:v>
                </c:pt>
                <c:pt idx="188">
                  <c:v>5.8867049906679916E-2</c:v>
                </c:pt>
                <c:pt idx="189">
                  <c:v>4.5105854728490206E-2</c:v>
                </c:pt>
                <c:pt idx="190">
                  <c:v>4.7492465312099233E-2</c:v>
                </c:pt>
                <c:pt idx="191">
                  <c:v>6.4277270089323185E-2</c:v>
                </c:pt>
                <c:pt idx="192">
                  <c:v>5.8517686640408753E-2</c:v>
                </c:pt>
                <c:pt idx="193">
                  <c:v>4.9385949158126427E-2</c:v>
                </c:pt>
                <c:pt idx="194">
                  <c:v>6.3546460244052305E-2</c:v>
                </c:pt>
                <c:pt idx="195">
                  <c:v>6.9059745394025207E-2</c:v>
                </c:pt>
                <c:pt idx="196">
                  <c:v>3.3803437926516314E-2</c:v>
                </c:pt>
                <c:pt idx="197">
                  <c:v>5.5754756509692346E-2</c:v>
                </c:pt>
                <c:pt idx="198">
                  <c:v>5.1223714944770044E-2</c:v>
                </c:pt>
                <c:pt idx="199">
                  <c:v>5.4562116849909234E-2</c:v>
                </c:pt>
                <c:pt idx="200">
                  <c:v>3.8242449389094074E-2</c:v>
                </c:pt>
                <c:pt idx="201">
                  <c:v>4.0034818998414899E-2</c:v>
                </c:pt>
                <c:pt idx="202">
                  <c:v>5.9688353401865485E-2</c:v>
                </c:pt>
                <c:pt idx="203">
                  <c:v>6.7681304419686616E-2</c:v>
                </c:pt>
                <c:pt idx="204">
                  <c:v>3.7749629776905574E-2</c:v>
                </c:pt>
                <c:pt idx="205">
                  <c:v>4.9958235670978672E-2</c:v>
                </c:pt>
                <c:pt idx="206">
                  <c:v>4.7459736753633332E-2</c:v>
                </c:pt>
                <c:pt idx="207">
                  <c:v>5.3367267103879623E-2</c:v>
                </c:pt>
                <c:pt idx="208">
                  <c:v>6.7091529531533786E-2</c:v>
                </c:pt>
                <c:pt idx="209">
                  <c:v>4.8861456219823601E-2</c:v>
                </c:pt>
                <c:pt idx="210">
                  <c:v>4.8112783649899453E-2</c:v>
                </c:pt>
                <c:pt idx="211">
                  <c:v>4.4147416875906877E-2</c:v>
                </c:pt>
                <c:pt idx="212">
                  <c:v>5.8856478524237484E-2</c:v>
                </c:pt>
                <c:pt idx="213">
                  <c:v>6.4676817364298533E-2</c:v>
                </c:pt>
                <c:pt idx="214">
                  <c:v>5.9151939257222931E-2</c:v>
                </c:pt>
                <c:pt idx="215">
                  <c:v>5.3239343574566202E-2</c:v>
                </c:pt>
                <c:pt idx="216">
                  <c:v>4.5990508661599705E-2</c:v>
                </c:pt>
                <c:pt idx="217">
                  <c:v>3.2168007327393278E-2</c:v>
                </c:pt>
                <c:pt idx="218">
                  <c:v>5.9191299252421212E-2</c:v>
                </c:pt>
                <c:pt idx="219">
                  <c:v>5.4434769216417128E-2</c:v>
                </c:pt>
                <c:pt idx="220">
                  <c:v>4.1454462201141316E-2</c:v>
                </c:pt>
                <c:pt idx="221">
                  <c:v>4.6685447251303511E-2</c:v>
                </c:pt>
                <c:pt idx="222">
                  <c:v>5.3373912345329566E-2</c:v>
                </c:pt>
                <c:pt idx="223">
                  <c:v>5.1989175687990996E-2</c:v>
                </c:pt>
                <c:pt idx="224">
                  <c:v>3.3424865601479739E-2</c:v>
                </c:pt>
                <c:pt idx="225">
                  <c:v>6.3771801798494038E-2</c:v>
                </c:pt>
                <c:pt idx="226">
                  <c:v>5.7121057770139913E-2</c:v>
                </c:pt>
                <c:pt idx="227">
                  <c:v>4.7512233460912739E-2</c:v>
                </c:pt>
                <c:pt idx="228">
                  <c:v>5.0501770094307535E-2</c:v>
                </c:pt>
                <c:pt idx="229">
                  <c:v>6.4962289157745032E-2</c:v>
                </c:pt>
                <c:pt idx="230">
                  <c:v>5.8913043758483191E-2</c:v>
                </c:pt>
                <c:pt idx="231">
                  <c:v>5.4608810441660383E-2</c:v>
                </c:pt>
                <c:pt idx="232">
                  <c:v>5.0416562083053638E-2</c:v>
                </c:pt>
                <c:pt idx="233">
                  <c:v>3.4306164216413651E-2</c:v>
                </c:pt>
                <c:pt idx="234">
                  <c:v>4.5079353559731097E-2</c:v>
                </c:pt>
                <c:pt idx="235">
                  <c:v>6.6229371527394137E-2</c:v>
                </c:pt>
                <c:pt idx="236">
                  <c:v>6.1371415129911171E-2</c:v>
                </c:pt>
                <c:pt idx="237">
                  <c:v>5.6568035091094593E-2</c:v>
                </c:pt>
                <c:pt idx="238">
                  <c:v>5.2636596559681656E-2</c:v>
                </c:pt>
                <c:pt idx="239">
                  <c:v>7.5120457528867729E-2</c:v>
                </c:pt>
                <c:pt idx="240">
                  <c:v>3.8058468828980514E-2</c:v>
                </c:pt>
                <c:pt idx="241">
                  <c:v>4.2117989453000812E-2</c:v>
                </c:pt>
                <c:pt idx="242">
                  <c:v>5.0549898051400782E-2</c:v>
                </c:pt>
                <c:pt idx="243">
                  <c:v>4.0888372629172463E-2</c:v>
                </c:pt>
                <c:pt idx="244">
                  <c:v>5.8188681450865462E-2</c:v>
                </c:pt>
                <c:pt idx="245">
                  <c:v>6.6439609691079121E-2</c:v>
                </c:pt>
                <c:pt idx="246">
                  <c:v>4.2759094258388468E-2</c:v>
                </c:pt>
                <c:pt idx="247">
                  <c:v>5.6747027399779701E-2</c:v>
                </c:pt>
                <c:pt idx="248">
                  <c:v>5.0335752034553809E-2</c:v>
                </c:pt>
                <c:pt idx="249">
                  <c:v>3.7850410786474185E-2</c:v>
                </c:pt>
                <c:pt idx="250">
                  <c:v>4.3948294995697065E-2</c:v>
                </c:pt>
                <c:pt idx="251">
                  <c:v>5.8606495631205131E-2</c:v>
                </c:pt>
                <c:pt idx="252">
                  <c:v>5.1491111726252481E-2</c:v>
                </c:pt>
                <c:pt idx="253">
                  <c:v>5.8553753457460792E-2</c:v>
                </c:pt>
                <c:pt idx="254">
                  <c:v>4.3282966762885344E-2</c:v>
                </c:pt>
                <c:pt idx="255">
                  <c:v>6.5819292598129936E-2</c:v>
                </c:pt>
                <c:pt idx="256">
                  <c:v>3.6922379600599305E-2</c:v>
                </c:pt>
                <c:pt idx="257">
                  <c:v>5.7197786193281239E-2</c:v>
                </c:pt>
                <c:pt idx="258">
                  <c:v>5.1771809264194779E-2</c:v>
                </c:pt>
                <c:pt idx="259">
                  <c:v>4.0406207138481066E-2</c:v>
                </c:pt>
                <c:pt idx="260">
                  <c:v>4.2115914288999308E-2</c:v>
                </c:pt>
                <c:pt idx="261">
                  <c:v>3.4729739859570466E-2</c:v>
                </c:pt>
                <c:pt idx="262">
                  <c:v>4.8549734435270456E-2</c:v>
                </c:pt>
                <c:pt idx="263">
                  <c:v>3.5303496892283306E-2</c:v>
                </c:pt>
                <c:pt idx="264">
                  <c:v>3.973734909572834E-2</c:v>
                </c:pt>
                <c:pt idx="265">
                  <c:v>3.5476241233581084E-2</c:v>
                </c:pt>
                <c:pt idx="266">
                  <c:v>5.1532387087903725E-2</c:v>
                </c:pt>
                <c:pt idx="267">
                  <c:v>4.4418882895871509E-2</c:v>
                </c:pt>
                <c:pt idx="268">
                  <c:v>3.9520830013160993E-2</c:v>
                </c:pt>
                <c:pt idx="269">
                  <c:v>6.2561443718058676E-2</c:v>
                </c:pt>
                <c:pt idx="270">
                  <c:v>4.5637785666035408E-2</c:v>
                </c:pt>
                <c:pt idx="271">
                  <c:v>5.2302486788659633E-2</c:v>
                </c:pt>
                <c:pt idx="272">
                  <c:v>4.3990152194519287E-2</c:v>
                </c:pt>
                <c:pt idx="273">
                  <c:v>5.2676753239975088E-2</c:v>
                </c:pt>
                <c:pt idx="274">
                  <c:v>6.9353352829581313E-2</c:v>
                </c:pt>
                <c:pt idx="275">
                  <c:v>6.1792187680360343E-2</c:v>
                </c:pt>
                <c:pt idx="276">
                  <c:v>4.5344616733211184E-2</c:v>
                </c:pt>
                <c:pt idx="277">
                  <c:v>4.0402465718451019E-2</c:v>
                </c:pt>
                <c:pt idx="278">
                  <c:v>4.4045927365679576E-2</c:v>
                </c:pt>
                <c:pt idx="279">
                  <c:v>4.5369110317811309E-2</c:v>
                </c:pt>
                <c:pt idx="280">
                  <c:v>3.9066407436888127E-2</c:v>
                </c:pt>
                <c:pt idx="281">
                  <c:v>5.3568140300099744E-2</c:v>
                </c:pt>
                <c:pt idx="282">
                  <c:v>5.3141452880500206E-2</c:v>
                </c:pt>
                <c:pt idx="283">
                  <c:v>6.9563016472149408E-2</c:v>
                </c:pt>
                <c:pt idx="284">
                  <c:v>4.9118979890244815E-2</c:v>
                </c:pt>
                <c:pt idx="285">
                  <c:v>5.2897440060202069E-2</c:v>
                </c:pt>
                <c:pt idx="286">
                  <c:v>4.7794719152740445E-2</c:v>
                </c:pt>
                <c:pt idx="287">
                  <c:v>3.4606661604138028E-2</c:v>
                </c:pt>
                <c:pt idx="288">
                  <c:v>6.0643387057600903E-2</c:v>
                </c:pt>
                <c:pt idx="289">
                  <c:v>6.0182312071666022E-2</c:v>
                </c:pt>
                <c:pt idx="290">
                  <c:v>4.5667009708722388E-2</c:v>
                </c:pt>
                <c:pt idx="291">
                  <c:v>4.4026547495713615E-2</c:v>
                </c:pt>
                <c:pt idx="292">
                  <c:v>5.7380235924327824E-2</c:v>
                </c:pt>
                <c:pt idx="293">
                  <c:v>6.0421861311805776E-2</c:v>
                </c:pt>
                <c:pt idx="294">
                  <c:v>5.4317734227786477E-2</c:v>
                </c:pt>
                <c:pt idx="295">
                  <c:v>4.8326302812769992E-2</c:v>
                </c:pt>
                <c:pt idx="296">
                  <c:v>4.9354938810514601E-2</c:v>
                </c:pt>
                <c:pt idx="297">
                  <c:v>6.2717808556792182E-2</c:v>
                </c:pt>
                <c:pt idx="298">
                  <c:v>5.8487393668773466E-2</c:v>
                </c:pt>
                <c:pt idx="299">
                  <c:v>5.8330963703821737E-2</c:v>
                </c:pt>
                <c:pt idx="300">
                  <c:v>4.9378637577205869E-2</c:v>
                </c:pt>
                <c:pt idx="301">
                  <c:v>5.2768550509886658E-2</c:v>
                </c:pt>
                <c:pt idx="302">
                  <c:v>4.9393592913512127E-2</c:v>
                </c:pt>
                <c:pt idx="303">
                  <c:v>4.0863374024614159E-2</c:v>
                </c:pt>
                <c:pt idx="304">
                  <c:v>4.7636217748858498E-2</c:v>
                </c:pt>
                <c:pt idx="305">
                  <c:v>3.7527945956491844E-2</c:v>
                </c:pt>
                <c:pt idx="306">
                  <c:v>4.1468774479974949E-2</c:v>
                </c:pt>
                <c:pt idx="307">
                  <c:v>4.029346099253351E-2</c:v>
                </c:pt>
                <c:pt idx="308">
                  <c:v>6.6756428274531515E-2</c:v>
                </c:pt>
                <c:pt idx="309">
                  <c:v>3.6629349718998741E-2</c:v>
                </c:pt>
                <c:pt idx="310">
                  <c:v>6.5417168904751577E-2</c:v>
                </c:pt>
                <c:pt idx="311">
                  <c:v>3.9742619675961141E-2</c:v>
                </c:pt>
                <c:pt idx="312">
                  <c:v>5.9511963950439867E-2</c:v>
                </c:pt>
                <c:pt idx="313">
                  <c:v>4.3808116171353932E-2</c:v>
                </c:pt>
                <c:pt idx="314">
                  <c:v>5.4411984366883742E-2</c:v>
                </c:pt>
                <c:pt idx="315">
                  <c:v>5.7243175269477156E-2</c:v>
                </c:pt>
                <c:pt idx="316">
                  <c:v>3.605712851941683E-2</c:v>
                </c:pt>
                <c:pt idx="317">
                  <c:v>5.2862072883886529E-2</c:v>
                </c:pt>
                <c:pt idx="318">
                  <c:v>5.5490146177958173E-2</c:v>
                </c:pt>
                <c:pt idx="319">
                  <c:v>3.3918418633348636E-2</c:v>
                </c:pt>
                <c:pt idx="320">
                  <c:v>4.0614843804628147E-2</c:v>
                </c:pt>
                <c:pt idx="321">
                  <c:v>3.815290750389936E-2</c:v>
                </c:pt>
                <c:pt idx="322">
                  <c:v>4.5795661163176751E-2</c:v>
                </c:pt>
                <c:pt idx="323">
                  <c:v>6.9311745314512729E-2</c:v>
                </c:pt>
                <c:pt idx="324">
                  <c:v>4.7607090336182024E-2</c:v>
                </c:pt>
                <c:pt idx="325">
                  <c:v>5.3088259919040315E-2</c:v>
                </c:pt>
                <c:pt idx="326">
                  <c:v>4.5240335648086112E-2</c:v>
                </c:pt>
                <c:pt idx="327">
                  <c:v>4.3118322758004417E-2</c:v>
                </c:pt>
                <c:pt idx="328">
                  <c:v>3.8251109292206563E-2</c:v>
                </c:pt>
                <c:pt idx="329">
                  <c:v>4.4597848184736458E-2</c:v>
                </c:pt>
                <c:pt idx="330">
                  <c:v>4.1426655890659608E-2</c:v>
                </c:pt>
                <c:pt idx="331">
                  <c:v>5.8223231970374517E-2</c:v>
                </c:pt>
                <c:pt idx="332">
                  <c:v>4.1755458168477602E-2</c:v>
                </c:pt>
                <c:pt idx="333">
                  <c:v>4.2869965708986379E-2</c:v>
                </c:pt>
                <c:pt idx="334">
                  <c:v>6.6864424903088943E-2</c:v>
                </c:pt>
                <c:pt idx="335">
                  <c:v>5.3448093368457503E-2</c:v>
                </c:pt>
                <c:pt idx="336">
                  <c:v>4.7882375908835359E-2</c:v>
                </c:pt>
                <c:pt idx="337">
                  <c:v>6.9610288346745972E-2</c:v>
                </c:pt>
                <c:pt idx="338">
                  <c:v>3.6965101090299837E-2</c:v>
                </c:pt>
                <c:pt idx="339">
                  <c:v>6.1992435257395215E-2</c:v>
                </c:pt>
                <c:pt idx="340">
                  <c:v>5.812991199455414E-2</c:v>
                </c:pt>
                <c:pt idx="341">
                  <c:v>4.4231147865642993E-2</c:v>
                </c:pt>
                <c:pt idx="342">
                  <c:v>4.5916049270023074E-2</c:v>
                </c:pt>
                <c:pt idx="343">
                  <c:v>5.1109448752026165E-2</c:v>
                </c:pt>
                <c:pt idx="344">
                  <c:v>4.3151682489665895E-2</c:v>
                </c:pt>
                <c:pt idx="345">
                  <c:v>5.4513370023074749E-2</c:v>
                </c:pt>
                <c:pt idx="346">
                  <c:v>7.1138186476242204E-2</c:v>
                </c:pt>
                <c:pt idx="347">
                  <c:v>6.1263317560071799E-2</c:v>
                </c:pt>
                <c:pt idx="348">
                  <c:v>6.4128905526176436E-2</c:v>
                </c:pt>
                <c:pt idx="349">
                  <c:v>4.158908002766077E-2</c:v>
                </c:pt>
                <c:pt idx="350">
                  <c:v>5.873631241091648E-2</c:v>
                </c:pt>
                <c:pt idx="351">
                  <c:v>3.4599427837208319E-2</c:v>
                </c:pt>
                <c:pt idx="352">
                  <c:v>5.5397771488336967E-2</c:v>
                </c:pt>
                <c:pt idx="353">
                  <c:v>3.8055487264464068E-2</c:v>
                </c:pt>
                <c:pt idx="354">
                  <c:v>3.6311594805283856E-2</c:v>
                </c:pt>
                <c:pt idx="355">
                  <c:v>5.091415492583562E-2</c:v>
                </c:pt>
                <c:pt idx="356">
                  <c:v>6.0676840720821246E-2</c:v>
                </c:pt>
                <c:pt idx="357">
                  <c:v>5.4133925853602952E-2</c:v>
                </c:pt>
                <c:pt idx="358">
                  <c:v>5.8844768396958069E-2</c:v>
                </c:pt>
                <c:pt idx="359">
                  <c:v>5.3108569921035943E-2</c:v>
                </c:pt>
                <c:pt idx="360">
                  <c:v>5.0099018250870167E-2</c:v>
                </c:pt>
                <c:pt idx="361">
                  <c:v>4.6431796881522644E-2</c:v>
                </c:pt>
                <c:pt idx="362">
                  <c:v>5.2115910661025812E-2</c:v>
                </c:pt>
                <c:pt idx="363">
                  <c:v>7.2363939597502744E-2</c:v>
                </c:pt>
                <c:pt idx="364">
                  <c:v>3.9817669471527602E-2</c:v>
                </c:pt>
                <c:pt idx="365">
                  <c:v>5.3404149840820939E-2</c:v>
                </c:pt>
                <c:pt idx="366">
                  <c:v>4.1210453064976331E-2</c:v>
                </c:pt>
                <c:pt idx="367">
                  <c:v>4.8121749078250717E-2</c:v>
                </c:pt>
                <c:pt idx="368">
                  <c:v>5.1505404117946851E-2</c:v>
                </c:pt>
                <c:pt idx="369">
                  <c:v>5.2626495699301674E-2</c:v>
                </c:pt>
                <c:pt idx="370">
                  <c:v>4.3501692883927322E-2</c:v>
                </c:pt>
                <c:pt idx="371">
                  <c:v>5.8272466241557436E-2</c:v>
                </c:pt>
                <c:pt idx="372">
                  <c:v>6.5419176467308021E-2</c:v>
                </c:pt>
                <c:pt idx="373">
                  <c:v>5.5924174423429937E-2</c:v>
                </c:pt>
                <c:pt idx="374">
                  <c:v>5.0279137002862129E-2</c:v>
                </c:pt>
                <c:pt idx="375">
                  <c:v>4.4962336209277726E-2</c:v>
                </c:pt>
                <c:pt idx="376">
                  <c:v>4.0708328891298856E-2</c:v>
                </c:pt>
                <c:pt idx="377">
                  <c:v>3.7867709047288561E-2</c:v>
                </c:pt>
                <c:pt idx="378">
                  <c:v>5.8901158636905579E-2</c:v>
                </c:pt>
                <c:pt idx="379">
                  <c:v>4.7854426612193954E-2</c:v>
                </c:pt>
                <c:pt idx="380">
                  <c:v>4.3411926225759956E-2</c:v>
                </c:pt>
                <c:pt idx="381">
                  <c:v>5.47877631190858E-2</c:v>
                </c:pt>
                <c:pt idx="382">
                  <c:v>3.8265249294053109E-2</c:v>
                </c:pt>
                <c:pt idx="383">
                  <c:v>4.3332786313110945E-2</c:v>
                </c:pt>
                <c:pt idx="384">
                  <c:v>3.9235069422243564E-2</c:v>
                </c:pt>
                <c:pt idx="385">
                  <c:v>5.8516600568745358E-2</c:v>
                </c:pt>
                <c:pt idx="386">
                  <c:v>4.1775550838289974E-2</c:v>
                </c:pt>
                <c:pt idx="387">
                  <c:v>3.7878111039302158E-2</c:v>
                </c:pt>
                <c:pt idx="388">
                  <c:v>4.7490642681191644E-2</c:v>
                </c:pt>
                <c:pt idx="389">
                  <c:v>4.4829689625118095E-2</c:v>
                </c:pt>
                <c:pt idx="390">
                  <c:v>3.9230249688651672E-2</c:v>
                </c:pt>
                <c:pt idx="391">
                  <c:v>6.0334404781065207E-2</c:v>
                </c:pt>
                <c:pt idx="392">
                  <c:v>4.1111104342228956E-2</c:v>
                </c:pt>
                <c:pt idx="393">
                  <c:v>4.2806369424767315E-2</c:v>
                </c:pt>
                <c:pt idx="394">
                  <c:v>6.6333535906044572E-2</c:v>
                </c:pt>
                <c:pt idx="395">
                  <c:v>5.5063958792763226E-2</c:v>
                </c:pt>
                <c:pt idx="396">
                  <c:v>5.3318192844394194E-2</c:v>
                </c:pt>
                <c:pt idx="397">
                  <c:v>5.1925790434389614E-2</c:v>
                </c:pt>
                <c:pt idx="398">
                  <c:v>6.1693825387947494E-2</c:v>
                </c:pt>
                <c:pt idx="399">
                  <c:v>6.5931213720765366E-2</c:v>
                </c:pt>
                <c:pt idx="400">
                  <c:v>5.4606901421990713E-2</c:v>
                </c:pt>
                <c:pt idx="401">
                  <c:v>4.4915664791078808E-2</c:v>
                </c:pt>
                <c:pt idx="402">
                  <c:v>4.6627454667734991E-2</c:v>
                </c:pt>
                <c:pt idx="403">
                  <c:v>3.7848387657520452E-2</c:v>
                </c:pt>
                <c:pt idx="404">
                  <c:v>5.7714623160442069E-2</c:v>
                </c:pt>
                <c:pt idx="405">
                  <c:v>5.7939851294779091E-2</c:v>
                </c:pt>
                <c:pt idx="406">
                  <c:v>5.1874496838665296E-2</c:v>
                </c:pt>
                <c:pt idx="407">
                  <c:v>5.9171984603971522E-2</c:v>
                </c:pt>
                <c:pt idx="408">
                  <c:v>5.7995983559051625E-2</c:v>
                </c:pt>
                <c:pt idx="409">
                  <c:v>6.4921906778654143E-2</c:v>
                </c:pt>
                <c:pt idx="410">
                  <c:v>4.1884595659834496E-2</c:v>
                </c:pt>
                <c:pt idx="411">
                  <c:v>6.6397646806926475E-2</c:v>
                </c:pt>
                <c:pt idx="412">
                  <c:v>5.6452718657359027E-2</c:v>
                </c:pt>
                <c:pt idx="413">
                  <c:v>3.4090387625338475E-2</c:v>
                </c:pt>
                <c:pt idx="414">
                  <c:v>4.9352340447755196E-2</c:v>
                </c:pt>
                <c:pt idx="415">
                  <c:v>4.4068015216702422E-2</c:v>
                </c:pt>
                <c:pt idx="416">
                  <c:v>5.773195671187005E-2</c:v>
                </c:pt>
                <c:pt idx="417">
                  <c:v>5.4424531703686455E-2</c:v>
                </c:pt>
                <c:pt idx="418">
                  <c:v>5.8635556132813127E-2</c:v>
                </c:pt>
                <c:pt idx="419">
                  <c:v>6.7643313917727099E-2</c:v>
                </c:pt>
                <c:pt idx="420">
                  <c:v>4.8583998720304021E-2</c:v>
                </c:pt>
                <c:pt idx="421">
                  <c:v>6.7736873682159485E-2</c:v>
                </c:pt>
                <c:pt idx="422">
                  <c:v>6.5956035508173458E-2</c:v>
                </c:pt>
                <c:pt idx="423">
                  <c:v>5.2779650420405472E-2</c:v>
                </c:pt>
                <c:pt idx="424">
                  <c:v>4.3125128272283569E-2</c:v>
                </c:pt>
                <c:pt idx="425">
                  <c:v>6.536962613671593E-2</c:v>
                </c:pt>
                <c:pt idx="426">
                  <c:v>3.3265220012158821E-2</c:v>
                </c:pt>
                <c:pt idx="427">
                  <c:v>5.5123960050483006E-2</c:v>
                </c:pt>
                <c:pt idx="428">
                  <c:v>6.6029320188951857E-2</c:v>
                </c:pt>
                <c:pt idx="429">
                  <c:v>4.8383108539699023E-2</c:v>
                </c:pt>
                <c:pt idx="430">
                  <c:v>4.5799905949458319E-2</c:v>
                </c:pt>
                <c:pt idx="431">
                  <c:v>5.0904838088092388E-2</c:v>
                </c:pt>
                <c:pt idx="432">
                  <c:v>4.1936945758758816E-2</c:v>
                </c:pt>
                <c:pt idx="433">
                  <c:v>5.4078035791066272E-2</c:v>
                </c:pt>
                <c:pt idx="434">
                  <c:v>3.5121792470250636E-2</c:v>
                </c:pt>
                <c:pt idx="435">
                  <c:v>5.2588965107444333E-2</c:v>
                </c:pt>
                <c:pt idx="436">
                  <c:v>5.0013010538040303E-2</c:v>
                </c:pt>
                <c:pt idx="437">
                  <c:v>6.601849518548733E-2</c:v>
                </c:pt>
                <c:pt idx="438">
                  <c:v>6.0467971171947424E-2</c:v>
                </c:pt>
                <c:pt idx="439">
                  <c:v>6.5556193543853031E-2</c:v>
                </c:pt>
                <c:pt idx="440">
                  <c:v>4.7808941499510649E-2</c:v>
                </c:pt>
                <c:pt idx="441">
                  <c:v>4.8511769089135598E-2</c:v>
                </c:pt>
                <c:pt idx="442">
                  <c:v>5.4213726488900604E-2</c:v>
                </c:pt>
                <c:pt idx="443">
                  <c:v>6.8902436737510911E-2</c:v>
                </c:pt>
                <c:pt idx="444">
                  <c:v>3.5974746491022669E-2</c:v>
                </c:pt>
                <c:pt idx="445">
                  <c:v>4.2171812534073885E-2</c:v>
                </c:pt>
                <c:pt idx="446">
                  <c:v>4.7440081929017913E-2</c:v>
                </c:pt>
                <c:pt idx="447">
                  <c:v>4.0484783168851485E-2</c:v>
                </c:pt>
                <c:pt idx="448">
                  <c:v>3.8470386399451481E-2</c:v>
                </c:pt>
                <c:pt idx="449">
                  <c:v>4.0812659856012255E-2</c:v>
                </c:pt>
                <c:pt idx="450">
                  <c:v>5.6637044819040736E-2</c:v>
                </c:pt>
                <c:pt idx="451">
                  <c:v>5.1422862748457157E-2</c:v>
                </c:pt>
                <c:pt idx="452">
                  <c:v>3.3938249119395192E-2</c:v>
                </c:pt>
                <c:pt idx="453">
                  <c:v>3.48874986572449E-2</c:v>
                </c:pt>
                <c:pt idx="454">
                  <c:v>5.0210775589650716E-2</c:v>
                </c:pt>
                <c:pt idx="455">
                  <c:v>6.7560049912899239E-2</c:v>
                </c:pt>
                <c:pt idx="456">
                  <c:v>6.8714231956449878E-2</c:v>
                </c:pt>
                <c:pt idx="457">
                  <c:v>6.118947406275E-2</c:v>
                </c:pt>
                <c:pt idx="458">
                  <c:v>4.6890361719190476E-2</c:v>
                </c:pt>
                <c:pt idx="459">
                  <c:v>3.4215441192475354E-2</c:v>
                </c:pt>
                <c:pt idx="460">
                  <c:v>5.0539621884359245E-2</c:v>
                </c:pt>
                <c:pt idx="461">
                  <c:v>4.2246153319469737E-2</c:v>
                </c:pt>
                <c:pt idx="462">
                  <c:v>3.9656211119136552E-2</c:v>
                </c:pt>
                <c:pt idx="463">
                  <c:v>4.6832801425669819E-2</c:v>
                </c:pt>
                <c:pt idx="464">
                  <c:v>5.1354633515951931E-2</c:v>
                </c:pt>
                <c:pt idx="465">
                  <c:v>4.0660875166208657E-2</c:v>
                </c:pt>
                <c:pt idx="466">
                  <c:v>6.3759314198655631E-2</c:v>
                </c:pt>
                <c:pt idx="467">
                  <c:v>6.0511166098256741E-2</c:v>
                </c:pt>
                <c:pt idx="468">
                  <c:v>5.2183799099217616E-2</c:v>
                </c:pt>
                <c:pt idx="469">
                  <c:v>4.717556132626044E-2</c:v>
                </c:pt>
                <c:pt idx="470">
                  <c:v>4.543395357004084E-2</c:v>
                </c:pt>
                <c:pt idx="471">
                  <c:v>6.6964956212836296E-2</c:v>
                </c:pt>
                <c:pt idx="472">
                  <c:v>4.7440281766397266E-2</c:v>
                </c:pt>
                <c:pt idx="473">
                  <c:v>5.3465948946838024E-2</c:v>
                </c:pt>
                <c:pt idx="474">
                  <c:v>6.4297858017962756E-2</c:v>
                </c:pt>
                <c:pt idx="475">
                  <c:v>6.3425594455730067E-2</c:v>
                </c:pt>
                <c:pt idx="476">
                  <c:v>4.4279723402296543E-2</c:v>
                </c:pt>
                <c:pt idx="477">
                  <c:v>6.1904617662015944E-2</c:v>
                </c:pt>
                <c:pt idx="478">
                  <c:v>3.5102564723422741E-2</c:v>
                </c:pt>
                <c:pt idx="479">
                  <c:v>6.4787183929120695E-2</c:v>
                </c:pt>
                <c:pt idx="480">
                  <c:v>6.9150144453750617E-2</c:v>
                </c:pt>
                <c:pt idx="481">
                  <c:v>5.021955838672746E-2</c:v>
                </c:pt>
                <c:pt idx="482">
                  <c:v>4.9435203761808759E-2</c:v>
                </c:pt>
                <c:pt idx="483">
                  <c:v>5.2503257500580665E-2</c:v>
                </c:pt>
                <c:pt idx="484">
                  <c:v>4.7217365764355174E-2</c:v>
                </c:pt>
                <c:pt idx="485">
                  <c:v>6.0108017683861925E-2</c:v>
                </c:pt>
                <c:pt idx="486">
                  <c:v>5.3331328009922296E-2</c:v>
                </c:pt>
                <c:pt idx="487">
                  <c:v>4.5553533832724161E-2</c:v>
                </c:pt>
                <c:pt idx="488">
                  <c:v>4.0492259201365739E-2</c:v>
                </c:pt>
                <c:pt idx="489">
                  <c:v>5.1016928658196903E-2</c:v>
                </c:pt>
                <c:pt idx="490">
                  <c:v>6.7726091863182153E-2</c:v>
                </c:pt>
                <c:pt idx="491">
                  <c:v>5.3934454125599607E-2</c:v>
                </c:pt>
                <c:pt idx="492">
                  <c:v>4.6328815753857652E-2</c:v>
                </c:pt>
                <c:pt idx="493">
                  <c:v>3.4273904395502028E-2</c:v>
                </c:pt>
                <c:pt idx="494">
                  <c:v>6.795626664824081E-2</c:v>
                </c:pt>
                <c:pt idx="495">
                  <c:v>5.377961846841027E-2</c:v>
                </c:pt>
                <c:pt idx="496">
                  <c:v>4.3585729595405152E-2</c:v>
                </c:pt>
                <c:pt idx="497">
                  <c:v>4.9532506758659819E-2</c:v>
                </c:pt>
                <c:pt idx="498">
                  <c:v>4.4491900303289672E-2</c:v>
                </c:pt>
                <c:pt idx="499">
                  <c:v>6.0431393375054515E-2</c:v>
                </c:pt>
                <c:pt idx="500">
                  <c:v>6.272946331275743E-2</c:v>
                </c:pt>
                <c:pt idx="501">
                  <c:v>4.637370286455221E-2</c:v>
                </c:pt>
                <c:pt idx="502">
                  <c:v>4.4095050054268746E-2</c:v>
                </c:pt>
                <c:pt idx="503">
                  <c:v>6.4122099152810211E-2</c:v>
                </c:pt>
                <c:pt idx="504">
                  <c:v>6.0723420931821412E-2</c:v>
                </c:pt>
                <c:pt idx="505">
                  <c:v>5.3352790230270099E-2</c:v>
                </c:pt>
                <c:pt idx="506">
                  <c:v>5.243775189307566E-2</c:v>
                </c:pt>
                <c:pt idx="507">
                  <c:v>4.2502580802391776E-2</c:v>
                </c:pt>
                <c:pt idx="508">
                  <c:v>4.2736794188294347E-2</c:v>
                </c:pt>
                <c:pt idx="509">
                  <c:v>5.9723129027556471E-2</c:v>
                </c:pt>
                <c:pt idx="510">
                  <c:v>5.3652381199599287E-2</c:v>
                </c:pt>
                <c:pt idx="511">
                  <c:v>5.4292215481544767E-2</c:v>
                </c:pt>
                <c:pt idx="512">
                  <c:v>3.6851811842608634E-2</c:v>
                </c:pt>
                <c:pt idx="513">
                  <c:v>3.7192619711486394E-2</c:v>
                </c:pt>
                <c:pt idx="514">
                  <c:v>3.4311925218886374E-2</c:v>
                </c:pt>
                <c:pt idx="515">
                  <c:v>4.9178557444886792E-2</c:v>
                </c:pt>
                <c:pt idx="516">
                  <c:v>3.6946762796856894E-2</c:v>
                </c:pt>
                <c:pt idx="517">
                  <c:v>5.6214447510886362E-2</c:v>
                </c:pt>
                <c:pt idx="518">
                  <c:v>4.8631602217896711E-2</c:v>
                </c:pt>
                <c:pt idx="519">
                  <c:v>6.5548253563464706E-2</c:v>
                </c:pt>
                <c:pt idx="520">
                  <c:v>5.3326880446935329E-2</c:v>
                </c:pt>
                <c:pt idx="521">
                  <c:v>3.1001915381186507E-2</c:v>
                </c:pt>
                <c:pt idx="522">
                  <c:v>6.2897414301650134E-2</c:v>
                </c:pt>
                <c:pt idx="523">
                  <c:v>7.0426923509936692E-2</c:v>
                </c:pt>
                <c:pt idx="524">
                  <c:v>5.9660339500662442E-2</c:v>
                </c:pt>
                <c:pt idx="525">
                  <c:v>4.8027211974242298E-2</c:v>
                </c:pt>
                <c:pt idx="526">
                  <c:v>4.4667055743677797E-2</c:v>
                </c:pt>
                <c:pt idx="527">
                  <c:v>7.0049755678972231E-2</c:v>
                </c:pt>
                <c:pt idx="528">
                  <c:v>3.8645739363209086E-2</c:v>
                </c:pt>
                <c:pt idx="529">
                  <c:v>5.4089257522720958E-2</c:v>
                </c:pt>
                <c:pt idx="530">
                  <c:v>4.162249290280999E-2</c:v>
                </c:pt>
                <c:pt idx="531">
                  <c:v>6.1257956010308284E-2</c:v>
                </c:pt>
                <c:pt idx="532">
                  <c:v>4.3311669726161531E-2</c:v>
                </c:pt>
                <c:pt idx="533">
                  <c:v>5.3267342892682229E-2</c:v>
                </c:pt>
                <c:pt idx="534">
                  <c:v>4.9104687888372425E-2</c:v>
                </c:pt>
                <c:pt idx="535">
                  <c:v>5.4741469799282447E-2</c:v>
                </c:pt>
                <c:pt idx="536">
                  <c:v>4.725509037857395E-2</c:v>
                </c:pt>
                <c:pt idx="537">
                  <c:v>4.554952250822214E-2</c:v>
                </c:pt>
                <c:pt idx="538">
                  <c:v>5.6840251747158343E-2</c:v>
                </c:pt>
                <c:pt idx="539">
                  <c:v>5.3597492093978238E-2</c:v>
                </c:pt>
                <c:pt idx="540">
                  <c:v>5.6768015780970876E-2</c:v>
                </c:pt>
                <c:pt idx="541">
                  <c:v>5.842628590127695E-2</c:v>
                </c:pt>
                <c:pt idx="542">
                  <c:v>3.8287931757045812E-2</c:v>
                </c:pt>
                <c:pt idx="543">
                  <c:v>6.2485947803828185E-2</c:v>
                </c:pt>
                <c:pt idx="544">
                  <c:v>3.6090360663164532E-2</c:v>
                </c:pt>
                <c:pt idx="545">
                  <c:v>5.859382250783772E-2</c:v>
                </c:pt>
                <c:pt idx="546">
                  <c:v>5.9775581063067976E-2</c:v>
                </c:pt>
                <c:pt idx="547">
                  <c:v>5.6784658802241178E-2</c:v>
                </c:pt>
                <c:pt idx="548">
                  <c:v>6.4522756088414901E-2</c:v>
                </c:pt>
                <c:pt idx="549">
                  <c:v>6.2759902817610985E-2</c:v>
                </c:pt>
                <c:pt idx="550">
                  <c:v>3.2629541654468831E-2</c:v>
                </c:pt>
                <c:pt idx="551">
                  <c:v>4.6577326238555053E-2</c:v>
                </c:pt>
                <c:pt idx="552">
                  <c:v>4.4941747046897206E-2</c:v>
                </c:pt>
                <c:pt idx="553">
                  <c:v>5.5969874700456286E-2</c:v>
                </c:pt>
                <c:pt idx="554">
                  <c:v>5.0416158655280201E-2</c:v>
                </c:pt>
                <c:pt idx="555">
                  <c:v>4.9983449028642074E-2</c:v>
                </c:pt>
                <c:pt idx="556">
                  <c:v>4.7580386418305171E-2</c:v>
                </c:pt>
                <c:pt idx="557">
                  <c:v>4.8173776853228378E-2</c:v>
                </c:pt>
                <c:pt idx="558">
                  <c:v>4.4242103241991258E-2</c:v>
                </c:pt>
                <c:pt idx="559">
                  <c:v>4.8931857579901261E-2</c:v>
                </c:pt>
                <c:pt idx="560">
                  <c:v>3.5038644290697432E-2</c:v>
                </c:pt>
                <c:pt idx="561">
                  <c:v>4.8686047877167515E-2</c:v>
                </c:pt>
                <c:pt idx="562">
                  <c:v>5.2111698771570354E-2</c:v>
                </c:pt>
                <c:pt idx="563">
                  <c:v>4.6432387512518492E-2</c:v>
                </c:pt>
                <c:pt idx="564">
                  <c:v>4.0630810249941807E-2</c:v>
                </c:pt>
                <c:pt idx="565">
                  <c:v>5.4568387455185038E-2</c:v>
                </c:pt>
                <c:pt idx="566">
                  <c:v>5.2908991573520026E-2</c:v>
                </c:pt>
                <c:pt idx="567">
                  <c:v>4.9442535354265377E-2</c:v>
                </c:pt>
                <c:pt idx="568">
                  <c:v>4.1966640444455902E-2</c:v>
                </c:pt>
                <c:pt idx="569">
                  <c:v>7.0052017715312054E-2</c:v>
                </c:pt>
                <c:pt idx="570">
                  <c:v>4.9201705577363544E-2</c:v>
                </c:pt>
                <c:pt idx="571">
                  <c:v>5.6176842757672776E-2</c:v>
                </c:pt>
                <c:pt idx="572">
                  <c:v>5.6381784337330432E-2</c:v>
                </c:pt>
                <c:pt idx="573">
                  <c:v>4.2969579802874212E-2</c:v>
                </c:pt>
                <c:pt idx="574">
                  <c:v>4.5219145597877326E-2</c:v>
                </c:pt>
                <c:pt idx="575">
                  <c:v>4.9349457163587726E-2</c:v>
                </c:pt>
                <c:pt idx="576">
                  <c:v>3.3572603234444519E-2</c:v>
                </c:pt>
                <c:pt idx="577">
                  <c:v>4.7138076095587414E-2</c:v>
                </c:pt>
                <c:pt idx="578">
                  <c:v>4.3630709077982451E-2</c:v>
                </c:pt>
                <c:pt idx="579">
                  <c:v>6.0072822962189673E-2</c:v>
                </c:pt>
                <c:pt idx="580">
                  <c:v>3.5761238207709767E-2</c:v>
                </c:pt>
                <c:pt idx="581">
                  <c:v>6.3481582416329396E-2</c:v>
                </c:pt>
                <c:pt idx="582">
                  <c:v>6.6594894214480532E-2</c:v>
                </c:pt>
                <c:pt idx="583">
                  <c:v>6.4702054401710896E-2</c:v>
                </c:pt>
                <c:pt idx="584">
                  <c:v>5.951665657578202E-2</c:v>
                </c:pt>
                <c:pt idx="585">
                  <c:v>5.5733719415292052E-2</c:v>
                </c:pt>
                <c:pt idx="586">
                  <c:v>5.1738234755737827E-2</c:v>
                </c:pt>
                <c:pt idx="587">
                  <c:v>4.5113866219036174E-2</c:v>
                </c:pt>
                <c:pt idx="588">
                  <c:v>3.4376863772728014E-2</c:v>
                </c:pt>
                <c:pt idx="589">
                  <c:v>4.4599042343062806E-2</c:v>
                </c:pt>
                <c:pt idx="590">
                  <c:v>4.5919385973904013E-2</c:v>
                </c:pt>
                <c:pt idx="591">
                  <c:v>6.2336971041674238E-2</c:v>
                </c:pt>
                <c:pt idx="592">
                  <c:v>5.2352875670657002E-2</c:v>
                </c:pt>
                <c:pt idx="593">
                  <c:v>5.2006612858917833E-2</c:v>
                </c:pt>
                <c:pt idx="594">
                  <c:v>6.2555065205010835E-2</c:v>
                </c:pt>
                <c:pt idx="595">
                  <c:v>6.0238523480955972E-2</c:v>
                </c:pt>
                <c:pt idx="596">
                  <c:v>4.2538472158876628E-2</c:v>
                </c:pt>
                <c:pt idx="597">
                  <c:v>5.3207052189895118E-2</c:v>
                </c:pt>
                <c:pt idx="598">
                  <c:v>3.8705467890919838E-2</c:v>
                </c:pt>
                <c:pt idx="599">
                  <c:v>5.7878184253604414E-2</c:v>
                </c:pt>
                <c:pt idx="600">
                  <c:v>3.6611612793897026E-2</c:v>
                </c:pt>
                <c:pt idx="601">
                  <c:v>5.1775775686468503E-2</c:v>
                </c:pt>
                <c:pt idx="602">
                  <c:v>4.9798208544574493E-2</c:v>
                </c:pt>
                <c:pt idx="603">
                  <c:v>5.9127524228689818E-2</c:v>
                </c:pt>
                <c:pt idx="604">
                  <c:v>3.4674239076008868E-2</c:v>
                </c:pt>
                <c:pt idx="605">
                  <c:v>5.310874732751554E-2</c:v>
                </c:pt>
                <c:pt idx="606">
                  <c:v>3.7903607757770047E-2</c:v>
                </c:pt>
                <c:pt idx="607">
                  <c:v>5.0372425027455051E-2</c:v>
                </c:pt>
                <c:pt idx="608">
                  <c:v>6.0597082691166426E-2</c:v>
                </c:pt>
                <c:pt idx="609">
                  <c:v>4.7120344689050325E-2</c:v>
                </c:pt>
                <c:pt idx="610">
                  <c:v>5.4973826041453691E-2</c:v>
                </c:pt>
                <c:pt idx="611">
                  <c:v>3.7963803255268165E-2</c:v>
                </c:pt>
                <c:pt idx="612">
                  <c:v>5.9195132669274904E-2</c:v>
                </c:pt>
                <c:pt idx="613">
                  <c:v>4.8062904100949704E-2</c:v>
                </c:pt>
                <c:pt idx="614">
                  <c:v>5.7017613136643525E-2</c:v>
                </c:pt>
                <c:pt idx="615">
                  <c:v>3.8522733389168111E-2</c:v>
                </c:pt>
                <c:pt idx="616">
                  <c:v>4.4182599474629165E-2</c:v>
                </c:pt>
                <c:pt idx="617">
                  <c:v>7.1305057147567408E-2</c:v>
                </c:pt>
                <c:pt idx="618">
                  <c:v>3.6620860082111413E-2</c:v>
                </c:pt>
                <c:pt idx="619">
                  <c:v>4.2424363530593243E-2</c:v>
                </c:pt>
                <c:pt idx="620">
                  <c:v>4.5426612189763335E-2</c:v>
                </c:pt>
                <c:pt idx="621">
                  <c:v>6.060037711334449E-2</c:v>
                </c:pt>
                <c:pt idx="622">
                  <c:v>6.2787385139268653E-2</c:v>
                </c:pt>
                <c:pt idx="623">
                  <c:v>6.3241937527746206E-2</c:v>
                </c:pt>
                <c:pt idx="624">
                  <c:v>3.820963721802486E-2</c:v>
                </c:pt>
                <c:pt idx="625">
                  <c:v>5.6493359421918833E-2</c:v>
                </c:pt>
                <c:pt idx="626">
                  <c:v>5.5664226840278302E-2</c:v>
                </c:pt>
                <c:pt idx="627">
                  <c:v>5.312596560396679E-2</c:v>
                </c:pt>
                <c:pt idx="628">
                  <c:v>4.2611823478482788E-2</c:v>
                </c:pt>
                <c:pt idx="629">
                  <c:v>4.1733273451516006E-2</c:v>
                </c:pt>
                <c:pt idx="630">
                  <c:v>5.1862563088385723E-2</c:v>
                </c:pt>
                <c:pt idx="631">
                  <c:v>5.0403115308009019E-2</c:v>
                </c:pt>
                <c:pt idx="632">
                  <c:v>6.4704093758127176E-2</c:v>
                </c:pt>
                <c:pt idx="633">
                  <c:v>4.718729365997329E-2</c:v>
                </c:pt>
                <c:pt idx="634">
                  <c:v>5.0620172606767336E-2</c:v>
                </c:pt>
                <c:pt idx="635">
                  <c:v>4.37878722308363E-2</c:v>
                </c:pt>
                <c:pt idx="636">
                  <c:v>6.2000580532229427E-2</c:v>
                </c:pt>
                <c:pt idx="637">
                  <c:v>5.375300822558754E-2</c:v>
                </c:pt>
                <c:pt idx="638">
                  <c:v>6.1658320584280342E-2</c:v>
                </c:pt>
                <c:pt idx="639">
                  <c:v>4.6291937002661536E-2</c:v>
                </c:pt>
                <c:pt idx="640">
                  <c:v>4.0966795337478226E-2</c:v>
                </c:pt>
                <c:pt idx="641">
                  <c:v>6.5410981147850711E-2</c:v>
                </c:pt>
                <c:pt idx="642">
                  <c:v>5.234179981598408E-2</c:v>
                </c:pt>
                <c:pt idx="643">
                  <c:v>6.5024428736504908E-2</c:v>
                </c:pt>
                <c:pt idx="644">
                  <c:v>5.0408499933012586E-2</c:v>
                </c:pt>
                <c:pt idx="645">
                  <c:v>4.4737184312476218E-2</c:v>
                </c:pt>
                <c:pt idx="646">
                  <c:v>4.3594582781121868E-2</c:v>
                </c:pt>
                <c:pt idx="647">
                  <c:v>3.9880587642243837E-2</c:v>
                </c:pt>
                <c:pt idx="648">
                  <c:v>4.9720082528777861E-2</c:v>
                </c:pt>
                <c:pt idx="649">
                  <c:v>4.2791303359461977E-2</c:v>
                </c:pt>
                <c:pt idx="650">
                  <c:v>5.0754745261346726E-2</c:v>
                </c:pt>
                <c:pt idx="651">
                  <c:v>5.1262581438785051E-2</c:v>
                </c:pt>
                <c:pt idx="652">
                  <c:v>4.6865928984855747E-2</c:v>
                </c:pt>
                <c:pt idx="653">
                  <c:v>5.773285515115742E-2</c:v>
                </c:pt>
                <c:pt idx="654">
                  <c:v>3.3410183999819036E-2</c:v>
                </c:pt>
                <c:pt idx="655">
                  <c:v>4.3271347267172265E-2</c:v>
                </c:pt>
                <c:pt idx="656">
                  <c:v>5.1417631414739595E-2</c:v>
                </c:pt>
                <c:pt idx="657">
                  <c:v>4.4472367250095769E-2</c:v>
                </c:pt>
                <c:pt idx="658">
                  <c:v>5.6039301840797834E-2</c:v>
                </c:pt>
                <c:pt idx="659">
                  <c:v>6.2198012887437974E-2</c:v>
                </c:pt>
                <c:pt idx="660">
                  <c:v>3.728088476193641E-2</c:v>
                </c:pt>
                <c:pt idx="661">
                  <c:v>4.9064359018226533E-2</c:v>
                </c:pt>
                <c:pt idx="662">
                  <c:v>4.1616389960861103E-2</c:v>
                </c:pt>
                <c:pt idx="663">
                  <c:v>5.4421926850664132E-2</c:v>
                </c:pt>
                <c:pt idx="664">
                  <c:v>5.4099971177211804E-2</c:v>
                </c:pt>
                <c:pt idx="665">
                  <c:v>4.4047230474196016E-2</c:v>
                </c:pt>
                <c:pt idx="666">
                  <c:v>4.6482789917713735E-2</c:v>
                </c:pt>
                <c:pt idx="667">
                  <c:v>3.9513791927825538E-2</c:v>
                </c:pt>
                <c:pt idx="668">
                  <c:v>6.4001086708185814E-2</c:v>
                </c:pt>
                <c:pt idx="669">
                  <c:v>5.1692259151903036E-2</c:v>
                </c:pt>
                <c:pt idx="670">
                  <c:v>5.9810407739120622E-2</c:v>
                </c:pt>
                <c:pt idx="671">
                  <c:v>5.0672365962391719E-2</c:v>
                </c:pt>
                <c:pt idx="672">
                  <c:v>4.3558379925151144E-2</c:v>
                </c:pt>
                <c:pt idx="673">
                  <c:v>4.1445412199996284E-2</c:v>
                </c:pt>
                <c:pt idx="674">
                  <c:v>4.3021341894312115E-2</c:v>
                </c:pt>
                <c:pt idx="675">
                  <c:v>5.4565215092821751E-2</c:v>
                </c:pt>
                <c:pt idx="676">
                  <c:v>5.6255178917947929E-2</c:v>
                </c:pt>
                <c:pt idx="677">
                  <c:v>5.2440769063277055E-2</c:v>
                </c:pt>
                <c:pt idx="678">
                  <c:v>4.1569137622031037E-2</c:v>
                </c:pt>
                <c:pt idx="679">
                  <c:v>5.548476186045756E-2</c:v>
                </c:pt>
                <c:pt idx="680">
                  <c:v>5.154693669424236E-2</c:v>
                </c:pt>
                <c:pt idx="681">
                  <c:v>4.1157208094646028E-2</c:v>
                </c:pt>
                <c:pt idx="682">
                  <c:v>7.2249680368216773E-2</c:v>
                </c:pt>
                <c:pt idx="683">
                  <c:v>5.8475984727992078E-2</c:v>
                </c:pt>
                <c:pt idx="684">
                  <c:v>4.1162458596354194E-2</c:v>
                </c:pt>
                <c:pt idx="685">
                  <c:v>4.3697171060470601E-2</c:v>
                </c:pt>
                <c:pt idx="686">
                  <c:v>3.6861730785176627E-2</c:v>
                </c:pt>
                <c:pt idx="687">
                  <c:v>5.1784786794048271E-2</c:v>
                </c:pt>
                <c:pt idx="688">
                  <c:v>6.4444609215039195E-2</c:v>
                </c:pt>
                <c:pt idx="689">
                  <c:v>5.962965130345188E-2</c:v>
                </c:pt>
                <c:pt idx="690">
                  <c:v>5.731593147814032E-2</c:v>
                </c:pt>
                <c:pt idx="691">
                  <c:v>3.4962337210545646E-2</c:v>
                </c:pt>
                <c:pt idx="692">
                  <c:v>4.6238464592567016E-2</c:v>
                </c:pt>
                <c:pt idx="693">
                  <c:v>4.66232251816871E-2</c:v>
                </c:pt>
                <c:pt idx="694">
                  <c:v>4.8460638148790369E-2</c:v>
                </c:pt>
                <c:pt idx="695">
                  <c:v>6.314644788244328E-2</c:v>
                </c:pt>
                <c:pt idx="696">
                  <c:v>3.8577140838247349E-2</c:v>
                </c:pt>
                <c:pt idx="697">
                  <c:v>6.1903580099436882E-2</c:v>
                </c:pt>
                <c:pt idx="698">
                  <c:v>4.7374188782652371E-2</c:v>
                </c:pt>
                <c:pt idx="699">
                  <c:v>5.2292072793917829E-2</c:v>
                </c:pt>
                <c:pt idx="700">
                  <c:v>3.1438175289822658E-2</c:v>
                </c:pt>
                <c:pt idx="701">
                  <c:v>6.2856080505512252E-2</c:v>
                </c:pt>
                <c:pt idx="702">
                  <c:v>5.4644492965154168E-2</c:v>
                </c:pt>
                <c:pt idx="703">
                  <c:v>6.7706870406218492E-2</c:v>
                </c:pt>
                <c:pt idx="704">
                  <c:v>4.3023309706676387E-2</c:v>
                </c:pt>
                <c:pt idx="705">
                  <c:v>6.116153767455694E-2</c:v>
                </c:pt>
                <c:pt idx="706">
                  <c:v>5.4658016458678862E-2</c:v>
                </c:pt>
                <c:pt idx="707">
                  <c:v>6.2303113360514834E-2</c:v>
                </c:pt>
                <c:pt idx="708">
                  <c:v>4.6543740639097303E-2</c:v>
                </c:pt>
                <c:pt idx="709">
                  <c:v>3.9377648494079237E-2</c:v>
                </c:pt>
                <c:pt idx="710">
                  <c:v>3.6801799776107577E-2</c:v>
                </c:pt>
                <c:pt idx="711">
                  <c:v>5.5403063002024244E-2</c:v>
                </c:pt>
                <c:pt idx="712">
                  <c:v>5.7567636508497978E-2</c:v>
                </c:pt>
                <c:pt idx="713">
                  <c:v>5.695121767289138E-2</c:v>
                </c:pt>
                <c:pt idx="714">
                  <c:v>5.8733066859564323E-2</c:v>
                </c:pt>
                <c:pt idx="715">
                  <c:v>5.4242438837892128E-2</c:v>
                </c:pt>
                <c:pt idx="716">
                  <c:v>4.8813197731734911E-2</c:v>
                </c:pt>
                <c:pt idx="717">
                  <c:v>6.0145013083424653E-2</c:v>
                </c:pt>
                <c:pt idx="718">
                  <c:v>5.6976279935250292E-2</c:v>
                </c:pt>
                <c:pt idx="719">
                  <c:v>3.5954751869718096E-2</c:v>
                </c:pt>
                <c:pt idx="720">
                  <c:v>5.3557212798120313E-2</c:v>
                </c:pt>
                <c:pt idx="721">
                  <c:v>5.9105402663632248E-2</c:v>
                </c:pt>
                <c:pt idx="722">
                  <c:v>6.9559552353079701E-2</c:v>
                </c:pt>
                <c:pt idx="723">
                  <c:v>5.7832976014665555E-2</c:v>
                </c:pt>
                <c:pt idx="724">
                  <c:v>4.6060309700205221E-2</c:v>
                </c:pt>
                <c:pt idx="725">
                  <c:v>4.4811870643026296E-2</c:v>
                </c:pt>
                <c:pt idx="726">
                  <c:v>4.6332788889369328E-2</c:v>
                </c:pt>
                <c:pt idx="727">
                  <c:v>4.4735763743058987E-2</c:v>
                </c:pt>
                <c:pt idx="728">
                  <c:v>4.383084271280354E-2</c:v>
                </c:pt>
                <c:pt idx="729">
                  <c:v>5.4860829985127257E-2</c:v>
                </c:pt>
                <c:pt idx="730">
                  <c:v>5.6015356731756435E-2</c:v>
                </c:pt>
                <c:pt idx="731">
                  <c:v>4.7190672555935481E-2</c:v>
                </c:pt>
                <c:pt idx="732">
                  <c:v>5.9405654679873521E-2</c:v>
                </c:pt>
                <c:pt idx="733">
                  <c:v>6.0034609181966542E-2</c:v>
                </c:pt>
                <c:pt idx="734">
                  <c:v>5.1607743620995822E-2</c:v>
                </c:pt>
                <c:pt idx="735">
                  <c:v>4.9859510888961296E-2</c:v>
                </c:pt>
                <c:pt idx="736">
                  <c:v>5.4382295481878645E-2</c:v>
                </c:pt>
                <c:pt idx="737">
                  <c:v>5.9539774949708663E-2</c:v>
                </c:pt>
                <c:pt idx="738">
                  <c:v>3.6699156183588683E-2</c:v>
                </c:pt>
                <c:pt idx="739">
                  <c:v>7.2777772640870791E-2</c:v>
                </c:pt>
                <c:pt idx="740">
                  <c:v>4.9858285943030406E-2</c:v>
                </c:pt>
                <c:pt idx="741">
                  <c:v>4.5959632051846867E-2</c:v>
                </c:pt>
                <c:pt idx="742">
                  <c:v>6.9390247122159132E-2</c:v>
                </c:pt>
                <c:pt idx="743">
                  <c:v>4.1101838550555193E-2</c:v>
                </c:pt>
                <c:pt idx="744">
                  <c:v>4.7573541361375433E-2</c:v>
                </c:pt>
                <c:pt idx="745">
                  <c:v>6.4564642389755539E-2</c:v>
                </c:pt>
                <c:pt idx="746">
                  <c:v>5.2709235652011563E-2</c:v>
                </c:pt>
                <c:pt idx="747">
                  <c:v>5.2375296898402604E-2</c:v>
                </c:pt>
                <c:pt idx="748">
                  <c:v>4.8946147772246651E-2</c:v>
                </c:pt>
                <c:pt idx="749">
                  <c:v>7.0167877616910151E-2</c:v>
                </c:pt>
                <c:pt idx="750">
                  <c:v>6.9183105882928003E-2</c:v>
                </c:pt>
                <c:pt idx="751">
                  <c:v>5.4982735667812449E-2</c:v>
                </c:pt>
                <c:pt idx="752">
                  <c:v>4.3110939895349865E-2</c:v>
                </c:pt>
                <c:pt idx="753">
                  <c:v>7.3717492699448092E-2</c:v>
                </c:pt>
                <c:pt idx="754">
                  <c:v>7.3389135740436692E-2</c:v>
                </c:pt>
                <c:pt idx="755">
                  <c:v>5.2495873106535695E-2</c:v>
                </c:pt>
                <c:pt idx="756">
                  <c:v>5.5631346907402582E-2</c:v>
                </c:pt>
                <c:pt idx="757">
                  <c:v>5.197238930154497E-2</c:v>
                </c:pt>
                <c:pt idx="758">
                  <c:v>6.0495647670514074E-2</c:v>
                </c:pt>
                <c:pt idx="759">
                  <c:v>4.0825533741618618E-2</c:v>
                </c:pt>
                <c:pt idx="760">
                  <c:v>5.0174217318224829E-2</c:v>
                </c:pt>
                <c:pt idx="761">
                  <c:v>4.7470318473296177E-2</c:v>
                </c:pt>
                <c:pt idx="762">
                  <c:v>6.3839701720312281E-2</c:v>
                </c:pt>
                <c:pt idx="763">
                  <c:v>3.5304135121604678E-2</c:v>
                </c:pt>
                <c:pt idx="764">
                  <c:v>5.217200454765103E-2</c:v>
                </c:pt>
                <c:pt idx="765">
                  <c:v>4.1713486836816638E-2</c:v>
                </c:pt>
                <c:pt idx="766">
                  <c:v>5.3337084492920753E-2</c:v>
                </c:pt>
                <c:pt idx="767">
                  <c:v>5.8282362835113163E-2</c:v>
                </c:pt>
                <c:pt idx="768">
                  <c:v>6.5482002788690707E-2</c:v>
                </c:pt>
                <c:pt idx="769">
                  <c:v>3.56419733642932E-2</c:v>
                </c:pt>
                <c:pt idx="770">
                  <c:v>4.6343537780886193E-2</c:v>
                </c:pt>
                <c:pt idx="771">
                  <c:v>4.776005347348028E-2</c:v>
                </c:pt>
                <c:pt idx="772">
                  <c:v>5.7655242804762127E-2</c:v>
                </c:pt>
                <c:pt idx="773">
                  <c:v>6.2664360226521859E-2</c:v>
                </c:pt>
                <c:pt idx="774">
                  <c:v>6.0352267606079431E-2</c:v>
                </c:pt>
                <c:pt idx="775">
                  <c:v>5.6621722884424699E-2</c:v>
                </c:pt>
                <c:pt idx="776">
                  <c:v>5.0749091833146513E-2</c:v>
                </c:pt>
                <c:pt idx="777">
                  <c:v>5.6569396940383432E-2</c:v>
                </c:pt>
                <c:pt idx="778">
                  <c:v>5.094647191311058E-2</c:v>
                </c:pt>
                <c:pt idx="779">
                  <c:v>4.2652437870568161E-2</c:v>
                </c:pt>
                <c:pt idx="780">
                  <c:v>6.1766515001572549E-2</c:v>
                </c:pt>
                <c:pt idx="781">
                  <c:v>4.9748295000198506E-2</c:v>
                </c:pt>
                <c:pt idx="782">
                  <c:v>5.2749398729659225E-2</c:v>
                </c:pt>
                <c:pt idx="783">
                  <c:v>5.3454046173382813E-2</c:v>
                </c:pt>
                <c:pt idx="784">
                  <c:v>4.5104522852845101E-2</c:v>
                </c:pt>
                <c:pt idx="785">
                  <c:v>7.2611320076545152E-2</c:v>
                </c:pt>
                <c:pt idx="786">
                  <c:v>5.0924607155575959E-2</c:v>
                </c:pt>
                <c:pt idx="787">
                  <c:v>4.313753352179435E-2</c:v>
                </c:pt>
                <c:pt idx="788">
                  <c:v>4.5274462475975885E-2</c:v>
                </c:pt>
                <c:pt idx="789">
                  <c:v>4.4463552395504397E-2</c:v>
                </c:pt>
                <c:pt idx="790">
                  <c:v>4.3798475473826384E-2</c:v>
                </c:pt>
                <c:pt idx="791">
                  <c:v>4.4883297575284059E-2</c:v>
                </c:pt>
                <c:pt idx="792">
                  <c:v>5.5272317248569042E-2</c:v>
                </c:pt>
                <c:pt idx="793">
                  <c:v>5.843125104662962E-2</c:v>
                </c:pt>
                <c:pt idx="794">
                  <c:v>6.5702302819277539E-2</c:v>
                </c:pt>
                <c:pt idx="795">
                  <c:v>5.0143398211947202E-2</c:v>
                </c:pt>
                <c:pt idx="796">
                  <c:v>4.302971997968507E-2</c:v>
                </c:pt>
                <c:pt idx="797">
                  <c:v>3.7363436337426031E-2</c:v>
                </c:pt>
                <c:pt idx="798">
                  <c:v>6.3474596319045312E-2</c:v>
                </c:pt>
                <c:pt idx="799">
                  <c:v>5.1498207544740632E-2</c:v>
                </c:pt>
                <c:pt idx="800">
                  <c:v>5.0374990729549152E-2</c:v>
                </c:pt>
                <c:pt idx="801">
                  <c:v>4.3388045938818454E-2</c:v>
                </c:pt>
                <c:pt idx="802">
                  <c:v>5.7618611633487332E-2</c:v>
                </c:pt>
                <c:pt idx="803">
                  <c:v>6.0108041630091959E-2</c:v>
                </c:pt>
                <c:pt idx="804">
                  <c:v>4.6032408118125485E-2</c:v>
                </c:pt>
                <c:pt idx="805">
                  <c:v>4.5878514035238294E-2</c:v>
                </c:pt>
                <c:pt idx="806">
                  <c:v>5.0984151325006583E-2</c:v>
                </c:pt>
                <c:pt idx="807">
                  <c:v>3.5419298498538698E-2</c:v>
                </c:pt>
                <c:pt idx="808">
                  <c:v>4.31302683883358E-2</c:v>
                </c:pt>
                <c:pt idx="809">
                  <c:v>5.3778274508441373E-2</c:v>
                </c:pt>
                <c:pt idx="810">
                  <c:v>3.8935750058840465E-2</c:v>
                </c:pt>
                <c:pt idx="811">
                  <c:v>6.1867324311140399E-2</c:v>
                </c:pt>
                <c:pt idx="812">
                  <c:v>4.1894214261999477E-2</c:v>
                </c:pt>
                <c:pt idx="813">
                  <c:v>4.8144960049407479E-2</c:v>
                </c:pt>
                <c:pt idx="814">
                  <c:v>5.1352540091343692E-2</c:v>
                </c:pt>
                <c:pt idx="815">
                  <c:v>5.8420900252282415E-2</c:v>
                </c:pt>
                <c:pt idx="816">
                  <c:v>5.9710734841776969E-2</c:v>
                </c:pt>
                <c:pt idx="817">
                  <c:v>5.1567560276733128E-2</c:v>
                </c:pt>
                <c:pt idx="818">
                  <c:v>6.4688943196906434E-2</c:v>
                </c:pt>
                <c:pt idx="819">
                  <c:v>5.2359075820851947E-2</c:v>
                </c:pt>
                <c:pt idx="820">
                  <c:v>4.3620269141062193E-2</c:v>
                </c:pt>
                <c:pt idx="821">
                  <c:v>6.8537664348310157E-2</c:v>
                </c:pt>
                <c:pt idx="822">
                  <c:v>5.8038525440393736E-2</c:v>
                </c:pt>
                <c:pt idx="823">
                  <c:v>6.0304995355410132E-2</c:v>
                </c:pt>
                <c:pt idx="824">
                  <c:v>4.4757023257447688E-2</c:v>
                </c:pt>
                <c:pt idx="825">
                  <c:v>3.5788887167192501E-2</c:v>
                </c:pt>
                <c:pt idx="826">
                  <c:v>5.2983139016600872E-2</c:v>
                </c:pt>
                <c:pt idx="827">
                  <c:v>5.7131697527410361E-2</c:v>
                </c:pt>
                <c:pt idx="828">
                  <c:v>4.071437906896487E-2</c:v>
                </c:pt>
                <c:pt idx="829">
                  <c:v>5.0353846615316472E-2</c:v>
                </c:pt>
                <c:pt idx="830">
                  <c:v>4.7907761355369449E-2</c:v>
                </c:pt>
                <c:pt idx="831">
                  <c:v>6.7526812521062712E-2</c:v>
                </c:pt>
                <c:pt idx="832">
                  <c:v>3.8673570806693966E-2</c:v>
                </c:pt>
                <c:pt idx="833">
                  <c:v>4.3678425941621996E-2</c:v>
                </c:pt>
                <c:pt idx="834">
                  <c:v>5.1424553046517149E-2</c:v>
                </c:pt>
                <c:pt idx="835">
                  <c:v>4.5024112350904845E-2</c:v>
                </c:pt>
                <c:pt idx="836">
                  <c:v>5.6673970581846651E-2</c:v>
                </c:pt>
                <c:pt idx="837">
                  <c:v>3.860940039171027E-2</c:v>
                </c:pt>
                <c:pt idx="838">
                  <c:v>5.014346572205805E-2</c:v>
                </c:pt>
                <c:pt idx="839">
                  <c:v>4.9399798178151225E-2</c:v>
                </c:pt>
                <c:pt idx="840">
                  <c:v>4.7619386670309474E-2</c:v>
                </c:pt>
                <c:pt idx="841">
                  <c:v>3.9804782669215312E-2</c:v>
                </c:pt>
                <c:pt idx="842">
                  <c:v>6.0758064837264911E-2</c:v>
                </c:pt>
                <c:pt idx="843">
                  <c:v>5.4902822576156723E-2</c:v>
                </c:pt>
                <c:pt idx="844">
                  <c:v>3.6708548962105618E-2</c:v>
                </c:pt>
                <c:pt idx="845">
                  <c:v>6.0268111590792213E-2</c:v>
                </c:pt>
                <c:pt idx="846">
                  <c:v>4.8325433230340185E-2</c:v>
                </c:pt>
                <c:pt idx="847">
                  <c:v>5.6746491294205573E-2</c:v>
                </c:pt>
                <c:pt idx="848">
                  <c:v>5.0183978066743018E-2</c:v>
                </c:pt>
                <c:pt idx="849">
                  <c:v>5.8967971778295908E-2</c:v>
                </c:pt>
                <c:pt idx="850">
                  <c:v>5.7961254413126669E-2</c:v>
                </c:pt>
                <c:pt idx="851">
                  <c:v>4.711400964969846E-2</c:v>
                </c:pt>
                <c:pt idx="852">
                  <c:v>6.5024509331884417E-2</c:v>
                </c:pt>
                <c:pt idx="853">
                  <c:v>6.1951376288106028E-2</c:v>
                </c:pt>
                <c:pt idx="854">
                  <c:v>4.5318725616729311E-2</c:v>
                </c:pt>
                <c:pt idx="855">
                  <c:v>4.9403733632844851E-2</c:v>
                </c:pt>
                <c:pt idx="856">
                  <c:v>6.0825540886039989E-2</c:v>
                </c:pt>
                <c:pt idx="857">
                  <c:v>6.1067451590920925E-2</c:v>
                </c:pt>
                <c:pt idx="858">
                  <c:v>5.5547745712475158E-2</c:v>
                </c:pt>
                <c:pt idx="859">
                  <c:v>5.4696965775604796E-2</c:v>
                </c:pt>
                <c:pt idx="860">
                  <c:v>3.3751446975245777E-2</c:v>
                </c:pt>
                <c:pt idx="861">
                  <c:v>4.1116866963804996E-2</c:v>
                </c:pt>
                <c:pt idx="862">
                  <c:v>5.794909298893694E-2</c:v>
                </c:pt>
                <c:pt idx="863">
                  <c:v>3.8464064651583189E-2</c:v>
                </c:pt>
                <c:pt idx="864">
                  <c:v>5.4055474474291626E-2</c:v>
                </c:pt>
                <c:pt idx="865">
                  <c:v>3.4574527076652095E-2</c:v>
                </c:pt>
                <c:pt idx="866">
                  <c:v>5.6242668706152701E-2</c:v>
                </c:pt>
                <c:pt idx="867">
                  <c:v>3.788782099176425E-2</c:v>
                </c:pt>
                <c:pt idx="868">
                  <c:v>5.3519008874715251E-2</c:v>
                </c:pt>
                <c:pt idx="869">
                  <c:v>5.0185567769606101E-2</c:v>
                </c:pt>
                <c:pt idx="870">
                  <c:v>5.3235044573376883E-2</c:v>
                </c:pt>
                <c:pt idx="871">
                  <c:v>3.9978917665613109E-2</c:v>
                </c:pt>
                <c:pt idx="872">
                  <c:v>4.7612509980330842E-2</c:v>
                </c:pt>
                <c:pt idx="873">
                  <c:v>3.5433787506499385E-2</c:v>
                </c:pt>
                <c:pt idx="874">
                  <c:v>6.8470196632493319E-2</c:v>
                </c:pt>
                <c:pt idx="875">
                  <c:v>5.8586482882462057E-2</c:v>
                </c:pt>
                <c:pt idx="876">
                  <c:v>7.2027599358218924E-2</c:v>
                </c:pt>
                <c:pt idx="877">
                  <c:v>4.851110518903172E-2</c:v>
                </c:pt>
                <c:pt idx="878">
                  <c:v>4.8307107158332904E-2</c:v>
                </c:pt>
                <c:pt idx="879">
                  <c:v>5.8324960624556721E-2</c:v>
                </c:pt>
                <c:pt idx="880">
                  <c:v>6.15523270501439E-2</c:v>
                </c:pt>
                <c:pt idx="881">
                  <c:v>5.0023580634049054E-2</c:v>
                </c:pt>
                <c:pt idx="882">
                  <c:v>7.1198129621130452E-2</c:v>
                </c:pt>
                <c:pt idx="883">
                  <c:v>4.9962813085732437E-2</c:v>
                </c:pt>
                <c:pt idx="884">
                  <c:v>5.3557042708491265E-2</c:v>
                </c:pt>
                <c:pt idx="885">
                  <c:v>5.0696823353463608E-2</c:v>
                </c:pt>
                <c:pt idx="886">
                  <c:v>5.5974085455983077E-2</c:v>
                </c:pt>
                <c:pt idx="887">
                  <c:v>5.0590020404875952E-2</c:v>
                </c:pt>
                <c:pt idx="888">
                  <c:v>3.8829379880173348E-2</c:v>
                </c:pt>
                <c:pt idx="889">
                  <c:v>6.0275501761806738E-2</c:v>
                </c:pt>
                <c:pt idx="890">
                  <c:v>7.3018044439873281E-2</c:v>
                </c:pt>
                <c:pt idx="891">
                  <c:v>4.8710117814805484E-2</c:v>
                </c:pt>
                <c:pt idx="892">
                  <c:v>5.942583639828955E-2</c:v>
                </c:pt>
                <c:pt idx="893">
                  <c:v>6.4748309154895017E-2</c:v>
                </c:pt>
                <c:pt idx="894">
                  <c:v>7.3865677762167681E-2</c:v>
                </c:pt>
                <c:pt idx="895">
                  <c:v>3.6131825437845815E-2</c:v>
                </c:pt>
                <c:pt idx="896">
                  <c:v>5.5471838637462662E-2</c:v>
                </c:pt>
                <c:pt idx="897">
                  <c:v>5.9230444342206104E-2</c:v>
                </c:pt>
                <c:pt idx="898">
                  <c:v>3.615737487701106E-2</c:v>
                </c:pt>
                <c:pt idx="899">
                  <c:v>4.0458579879830057E-2</c:v>
                </c:pt>
                <c:pt idx="900">
                  <c:v>5.7433329088854963E-2</c:v>
                </c:pt>
                <c:pt idx="901">
                  <c:v>5.4473019961721228E-2</c:v>
                </c:pt>
                <c:pt idx="902">
                  <c:v>5.6484440823511756E-2</c:v>
                </c:pt>
                <c:pt idx="903">
                  <c:v>3.3624784138198673E-2</c:v>
                </c:pt>
                <c:pt idx="904">
                  <c:v>5.4202792644752737E-2</c:v>
                </c:pt>
                <c:pt idx="905">
                  <c:v>5.2297051696358593E-2</c:v>
                </c:pt>
                <c:pt idx="906">
                  <c:v>3.9690000673129736E-2</c:v>
                </c:pt>
                <c:pt idx="907">
                  <c:v>3.2211556683551669E-2</c:v>
                </c:pt>
                <c:pt idx="908">
                  <c:v>4.5411574723967951E-2</c:v>
                </c:pt>
                <c:pt idx="909">
                  <c:v>6.7820087507962118E-2</c:v>
                </c:pt>
                <c:pt idx="910">
                  <c:v>5.9311440011612135E-2</c:v>
                </c:pt>
                <c:pt idx="911">
                  <c:v>6.4787720306627328E-2</c:v>
                </c:pt>
                <c:pt idx="912">
                  <c:v>6.3983313847154943E-2</c:v>
                </c:pt>
                <c:pt idx="913">
                  <c:v>6.0012030427558927E-2</c:v>
                </c:pt>
                <c:pt idx="914">
                  <c:v>5.1553233485772343E-2</c:v>
                </c:pt>
                <c:pt idx="915">
                  <c:v>6.5350058266518074E-2</c:v>
                </c:pt>
                <c:pt idx="916">
                  <c:v>5.7327715755109865E-2</c:v>
                </c:pt>
                <c:pt idx="917">
                  <c:v>4.1193489591367954E-2</c:v>
                </c:pt>
                <c:pt idx="918">
                  <c:v>3.8435112049639411E-2</c:v>
                </c:pt>
                <c:pt idx="919">
                  <c:v>4.1621595782830138E-2</c:v>
                </c:pt>
                <c:pt idx="920">
                  <c:v>5.4383391588457966E-2</c:v>
                </c:pt>
                <c:pt idx="921">
                  <c:v>4.262000134393161E-2</c:v>
                </c:pt>
                <c:pt idx="922">
                  <c:v>6.1618436536321985E-2</c:v>
                </c:pt>
                <c:pt idx="923">
                  <c:v>5.4584557359730557E-2</c:v>
                </c:pt>
                <c:pt idx="924">
                  <c:v>5.6722376736613192E-2</c:v>
                </c:pt>
                <c:pt idx="925">
                  <c:v>6.4810230084558024E-2</c:v>
                </c:pt>
                <c:pt idx="926">
                  <c:v>5.273682114708729E-2</c:v>
                </c:pt>
                <c:pt idx="927">
                  <c:v>7.2657543915540523E-2</c:v>
                </c:pt>
                <c:pt idx="928">
                  <c:v>6.2612896914924582E-2</c:v>
                </c:pt>
                <c:pt idx="929">
                  <c:v>5.718533208778008E-2</c:v>
                </c:pt>
                <c:pt idx="930">
                  <c:v>5.8272044064632794E-2</c:v>
                </c:pt>
                <c:pt idx="931">
                  <c:v>5.7835269672326411E-2</c:v>
                </c:pt>
                <c:pt idx="932">
                  <c:v>4.4951695304240737E-2</c:v>
                </c:pt>
                <c:pt idx="933">
                  <c:v>6.5005049986092633E-2</c:v>
                </c:pt>
                <c:pt idx="934">
                  <c:v>7.7672798355920392E-2</c:v>
                </c:pt>
                <c:pt idx="935">
                  <c:v>4.8670071263748879E-2</c:v>
                </c:pt>
                <c:pt idx="936">
                  <c:v>5.3240765301614437E-2</c:v>
                </c:pt>
                <c:pt idx="937">
                  <c:v>4.4525571806713196E-2</c:v>
                </c:pt>
                <c:pt idx="938">
                  <c:v>5.50525178161149E-2</c:v>
                </c:pt>
                <c:pt idx="939">
                  <c:v>4.2154322663420396E-2</c:v>
                </c:pt>
                <c:pt idx="940">
                  <c:v>5.1002359114824258E-2</c:v>
                </c:pt>
                <c:pt idx="941">
                  <c:v>4.0220167126567147E-2</c:v>
                </c:pt>
                <c:pt idx="942">
                  <c:v>6.3943331019201244E-2</c:v>
                </c:pt>
                <c:pt idx="943">
                  <c:v>6.0628822474668331E-2</c:v>
                </c:pt>
                <c:pt idx="944">
                  <c:v>6.3220726706103736E-2</c:v>
                </c:pt>
                <c:pt idx="945">
                  <c:v>4.1237560905716023E-2</c:v>
                </c:pt>
                <c:pt idx="946">
                  <c:v>6.2032953801559251E-2</c:v>
                </c:pt>
                <c:pt idx="947">
                  <c:v>4.4944455067776688E-2</c:v>
                </c:pt>
                <c:pt idx="948">
                  <c:v>5.530013742283256E-2</c:v>
                </c:pt>
                <c:pt idx="949">
                  <c:v>6.0876372323706199E-2</c:v>
                </c:pt>
                <c:pt idx="950">
                  <c:v>5.3563206622276545E-2</c:v>
                </c:pt>
                <c:pt idx="951">
                  <c:v>4.6245612020446282E-2</c:v>
                </c:pt>
                <c:pt idx="952">
                  <c:v>4.5436948187580033E-2</c:v>
                </c:pt>
                <c:pt idx="953">
                  <c:v>7.1241397130947737E-2</c:v>
                </c:pt>
                <c:pt idx="954">
                  <c:v>7.3070260450053992E-2</c:v>
                </c:pt>
                <c:pt idx="955">
                  <c:v>4.5011687802261342E-2</c:v>
                </c:pt>
                <c:pt idx="956">
                  <c:v>6.0146694893517635E-2</c:v>
                </c:pt>
                <c:pt idx="957">
                  <c:v>5.2164524589899126E-2</c:v>
                </c:pt>
                <c:pt idx="958">
                  <c:v>5.1316670681305056E-2</c:v>
                </c:pt>
                <c:pt idx="959">
                  <c:v>4.6352342487732054E-2</c:v>
                </c:pt>
                <c:pt idx="960">
                  <c:v>5.9176708777670603E-2</c:v>
                </c:pt>
                <c:pt idx="961">
                  <c:v>6.5089122134122629E-2</c:v>
                </c:pt>
                <c:pt idx="962">
                  <c:v>4.0406554911722015E-2</c:v>
                </c:pt>
                <c:pt idx="963">
                  <c:v>4.7760414736362021E-2</c:v>
                </c:pt>
                <c:pt idx="964">
                  <c:v>6.5695198234285601E-2</c:v>
                </c:pt>
                <c:pt idx="965">
                  <c:v>4.9530302492834716E-2</c:v>
                </c:pt>
                <c:pt idx="966">
                  <c:v>3.6647352585511814E-2</c:v>
                </c:pt>
                <c:pt idx="967">
                  <c:v>5.1597988381096416E-2</c:v>
                </c:pt>
                <c:pt idx="968">
                  <c:v>4.3895450595911059E-2</c:v>
                </c:pt>
                <c:pt idx="969">
                  <c:v>6.6876936240665499E-2</c:v>
                </c:pt>
                <c:pt idx="970">
                  <c:v>6.1811056017545572E-2</c:v>
                </c:pt>
                <c:pt idx="971">
                  <c:v>3.5684432150113077E-2</c:v>
                </c:pt>
                <c:pt idx="972">
                  <c:v>4.6107168323729658E-2</c:v>
                </c:pt>
                <c:pt idx="973">
                  <c:v>5.7364221475662114E-2</c:v>
                </c:pt>
                <c:pt idx="974">
                  <c:v>5.0860970018659482E-2</c:v>
                </c:pt>
                <c:pt idx="975">
                  <c:v>6.4026567091222591E-2</c:v>
                </c:pt>
                <c:pt idx="976">
                  <c:v>5.5367067371397516E-2</c:v>
                </c:pt>
                <c:pt idx="977">
                  <c:v>3.5393122693974391E-2</c:v>
                </c:pt>
                <c:pt idx="978">
                  <c:v>4.1135564521084439E-2</c:v>
                </c:pt>
                <c:pt idx="979">
                  <c:v>5.1856324078963859E-2</c:v>
                </c:pt>
                <c:pt idx="980">
                  <c:v>4.6113435387041504E-2</c:v>
                </c:pt>
                <c:pt idx="981">
                  <c:v>4.6667598096245766E-2</c:v>
                </c:pt>
                <c:pt idx="982">
                  <c:v>6.3820387656425059E-2</c:v>
                </c:pt>
                <c:pt idx="983">
                  <c:v>6.2537666197361036E-2</c:v>
                </c:pt>
                <c:pt idx="984">
                  <c:v>6.3816478767081408E-2</c:v>
                </c:pt>
                <c:pt idx="985">
                  <c:v>5.2829763966383725E-2</c:v>
                </c:pt>
                <c:pt idx="986">
                  <c:v>5.1675315758575632E-2</c:v>
                </c:pt>
                <c:pt idx="987">
                  <c:v>5.6547896071226789E-2</c:v>
                </c:pt>
                <c:pt idx="988">
                  <c:v>4.5024557680186164E-2</c:v>
                </c:pt>
                <c:pt idx="989">
                  <c:v>5.0035342651536134E-2</c:v>
                </c:pt>
                <c:pt idx="990">
                  <c:v>6.3498211592674436E-2</c:v>
                </c:pt>
                <c:pt idx="991">
                  <c:v>5.4748033084253855E-2</c:v>
                </c:pt>
                <c:pt idx="992">
                  <c:v>5.12204018857874E-2</c:v>
                </c:pt>
                <c:pt idx="993">
                  <c:v>4.5676449727721044E-2</c:v>
                </c:pt>
                <c:pt idx="994">
                  <c:v>4.6870132403755552E-2</c:v>
                </c:pt>
                <c:pt idx="995">
                  <c:v>3.3476608865053478E-2</c:v>
                </c:pt>
                <c:pt idx="996">
                  <c:v>6.4215384794206826E-2</c:v>
                </c:pt>
                <c:pt idx="997">
                  <c:v>5.3322858306823304E-2</c:v>
                </c:pt>
                <c:pt idx="998">
                  <c:v>4.3155591818215079E-2</c:v>
                </c:pt>
                <c:pt idx="999">
                  <c:v>4.6269213150265852E-2</c:v>
                </c:pt>
                <c:pt idx="1000">
                  <c:v>6.0896262799444545E-2</c:v>
                </c:pt>
                <c:pt idx="1001">
                  <c:v>5.172959383562542E-2</c:v>
                </c:pt>
                <c:pt idx="1002">
                  <c:v>6.1660714007866789E-2</c:v>
                </c:pt>
                <c:pt idx="1003">
                  <c:v>6.541693024880843E-2</c:v>
                </c:pt>
                <c:pt idx="1004">
                  <c:v>5.1876072252612988E-2</c:v>
                </c:pt>
                <c:pt idx="1005">
                  <c:v>4.9343518268498858E-2</c:v>
                </c:pt>
                <c:pt idx="1006">
                  <c:v>4.1766394020507192E-2</c:v>
                </c:pt>
                <c:pt idx="1007">
                  <c:v>4.4453671982685433E-2</c:v>
                </c:pt>
                <c:pt idx="1008">
                  <c:v>6.7640166423700326E-2</c:v>
                </c:pt>
                <c:pt idx="1009">
                  <c:v>4.7886631600066606E-2</c:v>
                </c:pt>
                <c:pt idx="1010">
                  <c:v>3.7502428443318012E-2</c:v>
                </c:pt>
                <c:pt idx="1011">
                  <c:v>6.6390202558651551E-2</c:v>
                </c:pt>
                <c:pt idx="1012">
                  <c:v>6.3799452706825244E-2</c:v>
                </c:pt>
                <c:pt idx="1013">
                  <c:v>6.6733779508159979E-2</c:v>
                </c:pt>
                <c:pt idx="1014">
                  <c:v>5.32573763358146E-2</c:v>
                </c:pt>
                <c:pt idx="1015">
                  <c:v>6.1887730208589488E-2</c:v>
                </c:pt>
                <c:pt idx="1016">
                  <c:v>4.8087400983466713E-2</c:v>
                </c:pt>
                <c:pt idx="1017">
                  <c:v>6.564555804324694E-2</c:v>
                </c:pt>
                <c:pt idx="1018">
                  <c:v>5.510511059215295E-2</c:v>
                </c:pt>
                <c:pt idx="1019">
                  <c:v>4.3874235056941054E-2</c:v>
                </c:pt>
                <c:pt idx="1020">
                  <c:v>4.054083123855115E-2</c:v>
                </c:pt>
              </c:numCache>
            </c:numRef>
          </c:xVal>
          <c:yVal>
            <c:numRef>
              <c:f>Rates!$C$66:$C$1086</c:f>
              <c:numCache>
                <c:formatCode>General</c:formatCode>
                <c:ptCount val="1021"/>
                <c:pt idx="21" formatCode="0.00%">
                  <c:v>0.10326912948142873</c:v>
                </c:pt>
                <c:pt idx="22" formatCode="0.00%">
                  <c:v>0.11064723204581546</c:v>
                </c:pt>
                <c:pt idx="23" formatCode="0.00%">
                  <c:v>0.11689830901436214</c:v>
                </c:pt>
                <c:pt idx="24" formatCode="0.00%">
                  <c:v>0.13093587010587643</c:v>
                </c:pt>
                <c:pt idx="25" formatCode="0.00%">
                  <c:v>7.6073691514537203E-2</c:v>
                </c:pt>
                <c:pt idx="26" formatCode="0.00%">
                  <c:v>8.1551222689796934E-2</c:v>
                </c:pt>
                <c:pt idx="27" formatCode="0.00%">
                  <c:v>9.8817809163063236E-2</c:v>
                </c:pt>
                <c:pt idx="28" formatCode="0.00%">
                  <c:v>0.13110551122821071</c:v>
                </c:pt>
                <c:pt idx="29" formatCode="0.00%">
                  <c:v>0.10469483572515928</c:v>
                </c:pt>
                <c:pt idx="30" formatCode="0.00%">
                  <c:v>9.4803818504085646E-2</c:v>
                </c:pt>
                <c:pt idx="31" formatCode="0.00%">
                  <c:v>0.10211652301920621</c:v>
                </c:pt>
                <c:pt idx="32" formatCode="0.00%">
                  <c:v>8.2657274087959198E-2</c:v>
                </c:pt>
                <c:pt idx="33" formatCode="0.00%">
                  <c:v>8.3760087948814205E-2</c:v>
                </c:pt>
                <c:pt idx="34" formatCode="0.00%">
                  <c:v>8.4644644986405879E-2</c:v>
                </c:pt>
                <c:pt idx="35" formatCode="0.00%">
                  <c:v>9.1432994558382816E-2</c:v>
                </c:pt>
                <c:pt idx="36" formatCode="0.00%">
                  <c:v>0.10153346059240426</c:v>
                </c:pt>
                <c:pt idx="37" formatCode="0.00%">
                  <c:v>8.568431025231521E-2</c:v>
                </c:pt>
                <c:pt idx="38" formatCode="0.00%">
                  <c:v>0.10486775747898885</c:v>
                </c:pt>
                <c:pt idx="39" formatCode="0.00%">
                  <c:v>0.1036856618895981</c:v>
                </c:pt>
                <c:pt idx="40" formatCode="0.00%">
                  <c:v>0.12116906623109691</c:v>
                </c:pt>
                <c:pt idx="41" formatCode="0.00%">
                  <c:v>8.4445900000169716E-2</c:v>
                </c:pt>
                <c:pt idx="42" formatCode="0.00%">
                  <c:v>8.8295118659472871E-2</c:v>
                </c:pt>
                <c:pt idx="43" formatCode="0.00%">
                  <c:v>0.10838270239316501</c:v>
                </c:pt>
                <c:pt idx="44" formatCode="0.00%">
                  <c:v>0.10363195588489219</c:v>
                </c:pt>
                <c:pt idx="45" formatCode="0.00%">
                  <c:v>9.9210779380242281E-2</c:v>
                </c:pt>
                <c:pt idx="46" formatCode="0.00%">
                  <c:v>9.4329490777708691E-2</c:v>
                </c:pt>
                <c:pt idx="47" formatCode="0.00%">
                  <c:v>0.10976605165054039</c:v>
                </c:pt>
                <c:pt idx="48" formatCode="0.00%">
                  <c:v>9.2393962250795172E-2</c:v>
                </c:pt>
                <c:pt idx="49" formatCode="0.00%">
                  <c:v>9.0627372693457053E-2</c:v>
                </c:pt>
                <c:pt idx="50" formatCode="0.00%">
                  <c:v>0.10500341637400064</c:v>
                </c:pt>
                <c:pt idx="51" formatCode="0.00%">
                  <c:v>0.11176515175425179</c:v>
                </c:pt>
                <c:pt idx="52" formatCode="0.00%">
                  <c:v>0.13327078545416449</c:v>
                </c:pt>
                <c:pt idx="53" formatCode="0.00%">
                  <c:v>8.3782106649750832E-2</c:v>
                </c:pt>
                <c:pt idx="54" formatCode="0.00%">
                  <c:v>0.11070114682323812</c:v>
                </c:pt>
                <c:pt idx="55" formatCode="0.00%">
                  <c:v>0.10753627484975531</c:v>
                </c:pt>
                <c:pt idx="56" formatCode="0.00%">
                  <c:v>0.11994434972098381</c:v>
                </c:pt>
                <c:pt idx="57" formatCode="0.00%">
                  <c:v>8.663509634297617E-2</c:v>
                </c:pt>
                <c:pt idx="58" formatCode="0.00%">
                  <c:v>0.11710131800490936</c:v>
                </c:pt>
                <c:pt idx="59" formatCode="0.00%">
                  <c:v>9.2954249275048639E-2</c:v>
                </c:pt>
                <c:pt idx="60" formatCode="0.00%">
                  <c:v>0.11421244443894314</c:v>
                </c:pt>
                <c:pt idx="61" formatCode="0.00%">
                  <c:v>0.10686788362589722</c:v>
                </c:pt>
                <c:pt idx="62" formatCode="0.00%">
                  <c:v>0.10482604433497475</c:v>
                </c:pt>
                <c:pt idx="63" formatCode="0.00%">
                  <c:v>0.12851828188776948</c:v>
                </c:pt>
                <c:pt idx="64" formatCode="0.00%">
                  <c:v>0.11610019555141315</c:v>
                </c:pt>
                <c:pt idx="65" formatCode="0.00%">
                  <c:v>9.7300214584651462E-2</c:v>
                </c:pt>
                <c:pt idx="66" formatCode="0.00%">
                  <c:v>8.5058936799069979E-2</c:v>
                </c:pt>
                <c:pt idx="67" formatCode="0.00%">
                  <c:v>9.8777872163540684E-2</c:v>
                </c:pt>
                <c:pt idx="68" formatCode="0.00%">
                  <c:v>0.10349327529495711</c:v>
                </c:pt>
                <c:pt idx="69" formatCode="0.00%">
                  <c:v>0.11792247821040239</c:v>
                </c:pt>
                <c:pt idx="70" formatCode="0.00%">
                  <c:v>0.12409924569817049</c:v>
                </c:pt>
                <c:pt idx="71" formatCode="0.00%">
                  <c:v>0.12636377345407301</c:v>
                </c:pt>
                <c:pt idx="72" formatCode="0.00%">
                  <c:v>0.12472235645663446</c:v>
                </c:pt>
                <c:pt idx="73" formatCode="0.00%">
                  <c:v>8.5535012232640747E-2</c:v>
                </c:pt>
                <c:pt idx="74" formatCode="0.00%">
                  <c:v>0.1070441639069262</c:v>
                </c:pt>
                <c:pt idx="75" formatCode="0.00%">
                  <c:v>8.0490654783674953E-2</c:v>
                </c:pt>
                <c:pt idx="76" formatCode="0.00%">
                  <c:v>0.10962465886021844</c:v>
                </c:pt>
                <c:pt idx="77" formatCode="0.00%">
                  <c:v>9.1240149340766477E-2</c:v>
                </c:pt>
                <c:pt idx="78" formatCode="0.00%">
                  <c:v>9.4292151480721426E-2</c:v>
                </c:pt>
                <c:pt idx="79" formatCode="0.00%">
                  <c:v>0.13272742093093959</c:v>
                </c:pt>
                <c:pt idx="80" formatCode="0.00%">
                  <c:v>8.9506105007200826E-2</c:v>
                </c:pt>
                <c:pt idx="81" formatCode="0.00%">
                  <c:v>0.10726897400156074</c:v>
                </c:pt>
                <c:pt idx="82" formatCode="0.00%">
                  <c:v>9.5462115653661347E-2</c:v>
                </c:pt>
                <c:pt idx="83" formatCode="0.00%">
                  <c:v>0.10677172299140021</c:v>
                </c:pt>
                <c:pt idx="84" formatCode="0.00%">
                  <c:v>0.10408798226375517</c:v>
                </c:pt>
                <c:pt idx="85" formatCode="0.00%">
                  <c:v>0.1358465980448933</c:v>
                </c:pt>
                <c:pt idx="86" formatCode="0.00%">
                  <c:v>0.11079419575209375</c:v>
                </c:pt>
                <c:pt idx="87" formatCode="0.00%">
                  <c:v>0.11584771074413877</c:v>
                </c:pt>
                <c:pt idx="88" formatCode="0.00%">
                  <c:v>9.2517167336863229E-2</c:v>
                </c:pt>
                <c:pt idx="89" formatCode="0.00%">
                  <c:v>0.10628688552552318</c:v>
                </c:pt>
                <c:pt idx="90" formatCode="0.00%">
                  <c:v>9.6165650140559916E-2</c:v>
                </c:pt>
                <c:pt idx="91" formatCode="0.00%">
                  <c:v>8.6006845967475321E-2</c:v>
                </c:pt>
                <c:pt idx="92" formatCode="0.00%">
                  <c:v>9.0834753903454302E-2</c:v>
                </c:pt>
                <c:pt idx="93" formatCode="0.00%">
                  <c:v>0.11410874719726807</c:v>
                </c:pt>
                <c:pt idx="94" formatCode="0.00%">
                  <c:v>0.12177921044530278</c:v>
                </c:pt>
                <c:pt idx="95" formatCode="0.00%">
                  <c:v>0.11649433967754819</c:v>
                </c:pt>
                <c:pt idx="96" formatCode="0.00%">
                  <c:v>0.10773190113025494</c:v>
                </c:pt>
                <c:pt idx="97" formatCode="0.00%">
                  <c:v>8.2248542998295926E-2</c:v>
                </c:pt>
                <c:pt idx="98" formatCode="0.00%">
                  <c:v>7.141936126498219E-2</c:v>
                </c:pt>
                <c:pt idx="99" formatCode="0.00%">
                  <c:v>0.10315408089721678</c:v>
                </c:pt>
                <c:pt idx="100" formatCode="0.00%">
                  <c:v>0.10242327319991529</c:v>
                </c:pt>
                <c:pt idx="101" formatCode="0.00%">
                  <c:v>0.12237795692552622</c:v>
                </c:pt>
                <c:pt idx="102" formatCode="0.00%">
                  <c:v>0.11065506109371319</c:v>
                </c:pt>
                <c:pt idx="103" formatCode="0.00%">
                  <c:v>0.11073735556440129</c:v>
                </c:pt>
                <c:pt idx="104" formatCode="0.00%">
                  <c:v>0.10525155673851616</c:v>
                </c:pt>
                <c:pt idx="105" formatCode="0.00%">
                  <c:v>9.1560507296025245E-2</c:v>
                </c:pt>
                <c:pt idx="106" formatCode="0.00%">
                  <c:v>0.10572326006397922</c:v>
                </c:pt>
                <c:pt idx="107" formatCode="0.00%">
                  <c:v>0.10673923766455673</c:v>
                </c:pt>
                <c:pt idx="108" formatCode="0.00%">
                  <c:v>8.7729455155609162E-2</c:v>
                </c:pt>
                <c:pt idx="109" formatCode="0.00%">
                  <c:v>9.0242335859947051E-2</c:v>
                </c:pt>
                <c:pt idx="110" formatCode="0.00%">
                  <c:v>9.3491231944268657E-2</c:v>
                </c:pt>
                <c:pt idx="111" formatCode="0.00%">
                  <c:v>0.11385473890304161</c:v>
                </c:pt>
                <c:pt idx="112" formatCode="0.00%">
                  <c:v>0.1078999209120378</c:v>
                </c:pt>
                <c:pt idx="113" formatCode="0.00%">
                  <c:v>0.12081150362033259</c:v>
                </c:pt>
                <c:pt idx="114" formatCode="0.00%">
                  <c:v>0.10130321752259633</c:v>
                </c:pt>
                <c:pt idx="115" formatCode="0.00%">
                  <c:v>9.2371034553210232E-2</c:v>
                </c:pt>
                <c:pt idx="116" formatCode="0.00%">
                  <c:v>0.12799768767806724</c:v>
                </c:pt>
                <c:pt idx="117" formatCode="0.00%">
                  <c:v>9.203695417150097E-2</c:v>
                </c:pt>
                <c:pt idx="118" formatCode="0.00%">
                  <c:v>8.8887444839662197E-2</c:v>
                </c:pt>
                <c:pt idx="119" formatCode="0.00%">
                  <c:v>9.136246427377788E-2</c:v>
                </c:pt>
                <c:pt idx="120" formatCode="0.00%">
                  <c:v>9.0369125802758632E-2</c:v>
                </c:pt>
                <c:pt idx="121" formatCode="0.00%">
                  <c:v>7.8299539125999351E-2</c:v>
                </c:pt>
                <c:pt idx="122" formatCode="0.00%">
                  <c:v>9.6967627132003339E-2</c:v>
                </c:pt>
                <c:pt idx="123" formatCode="0.00%">
                  <c:v>0.10014387568120925</c:v>
                </c:pt>
                <c:pt idx="124" formatCode="0.00%">
                  <c:v>0.1018789808750214</c:v>
                </c:pt>
                <c:pt idx="125" formatCode="0.00%">
                  <c:v>9.5957175274336726E-2</c:v>
                </c:pt>
                <c:pt idx="126" formatCode="0.00%">
                  <c:v>0.12959943833998686</c:v>
                </c:pt>
                <c:pt idx="127" formatCode="0.00%">
                  <c:v>8.4394825136347218E-2</c:v>
                </c:pt>
                <c:pt idx="128" formatCode="0.00%">
                  <c:v>0.10362286058367544</c:v>
                </c:pt>
                <c:pt idx="129" formatCode="0.00%">
                  <c:v>0.1035499586240119</c:v>
                </c:pt>
                <c:pt idx="130" formatCode="0.00%">
                  <c:v>0.10511135292378943</c:v>
                </c:pt>
                <c:pt idx="131" formatCode="0.00%">
                  <c:v>8.5183286038132994E-2</c:v>
                </c:pt>
                <c:pt idx="132" formatCode="0.00%">
                  <c:v>0.10219909529706189</c:v>
                </c:pt>
                <c:pt idx="133" formatCode="0.00%">
                  <c:v>0.11232244593323053</c:v>
                </c:pt>
                <c:pt idx="134" formatCode="0.00%">
                  <c:v>0.10793737725516883</c:v>
                </c:pt>
                <c:pt idx="135" formatCode="0.00%">
                  <c:v>9.9650955605655345E-2</c:v>
                </c:pt>
                <c:pt idx="136" formatCode="0.00%">
                  <c:v>0.12010648259617236</c:v>
                </c:pt>
                <c:pt idx="137" formatCode="0.00%">
                  <c:v>0.11226628265541666</c:v>
                </c:pt>
                <c:pt idx="138" formatCode="0.00%">
                  <c:v>0.10593293230999218</c:v>
                </c:pt>
                <c:pt idx="139" formatCode="0.00%">
                  <c:v>0.11562617257720867</c:v>
                </c:pt>
                <c:pt idx="140" formatCode="0.00%">
                  <c:v>9.1406379215950545E-2</c:v>
                </c:pt>
                <c:pt idx="141" formatCode="0.00%">
                  <c:v>8.8107910266151904E-2</c:v>
                </c:pt>
                <c:pt idx="142" formatCode="0.00%">
                  <c:v>0.11577829492229189</c:v>
                </c:pt>
                <c:pt idx="143" formatCode="0.00%">
                  <c:v>0.10644106631343164</c:v>
                </c:pt>
                <c:pt idx="144" formatCode="0.00%">
                  <c:v>0.12055005014325906</c:v>
                </c:pt>
                <c:pt idx="145" formatCode="0.00%">
                  <c:v>0.10521272991954407</c:v>
                </c:pt>
                <c:pt idx="146" formatCode="0.00%">
                  <c:v>0.1051442892063334</c:v>
                </c:pt>
                <c:pt idx="147" formatCode="0.00%">
                  <c:v>0.10378504576810643</c:v>
                </c:pt>
                <c:pt idx="148" formatCode="0.00%">
                  <c:v>0.11531248305474601</c:v>
                </c:pt>
                <c:pt idx="149" formatCode="0.00%">
                  <c:v>8.4046949695462891E-2</c:v>
                </c:pt>
                <c:pt idx="150" formatCode="0.00%">
                  <c:v>0.11285218224027484</c:v>
                </c:pt>
                <c:pt idx="151" formatCode="0.00%">
                  <c:v>0.10372526853967093</c:v>
                </c:pt>
                <c:pt idx="152" formatCode="0.00%">
                  <c:v>7.8395111592338335E-2</c:v>
                </c:pt>
                <c:pt idx="153" formatCode="0.00%">
                  <c:v>9.304916008460104E-2</c:v>
                </c:pt>
                <c:pt idx="154" formatCode="0.00%">
                  <c:v>8.7829300538055627E-2</c:v>
                </c:pt>
                <c:pt idx="155" formatCode="0.00%">
                  <c:v>9.7123345903060238E-2</c:v>
                </c:pt>
                <c:pt idx="156" formatCode="0.00%">
                  <c:v>0.12285548039726189</c:v>
                </c:pt>
                <c:pt idx="157" formatCode="0.00%">
                  <c:v>0.13962974608588324</c:v>
                </c:pt>
                <c:pt idx="158" formatCode="0.00%">
                  <c:v>8.2369429675172398E-2</c:v>
                </c:pt>
                <c:pt idx="159" formatCode="0.00%">
                  <c:v>9.8628891249146089E-2</c:v>
                </c:pt>
                <c:pt idx="160" formatCode="0.00%">
                  <c:v>9.6241779140358683E-2</c:v>
                </c:pt>
                <c:pt idx="161" formatCode="0.00%">
                  <c:v>0.12380489167048672</c:v>
                </c:pt>
                <c:pt idx="162" formatCode="0.00%">
                  <c:v>0.10490064523924057</c:v>
                </c:pt>
                <c:pt idx="163" formatCode="0.00%">
                  <c:v>9.6603859279679669E-2</c:v>
                </c:pt>
                <c:pt idx="164" formatCode="0.00%">
                  <c:v>8.4737927613799266E-2</c:v>
                </c:pt>
                <c:pt idx="165" formatCode="0.00%">
                  <c:v>9.8672839871967774E-2</c:v>
                </c:pt>
                <c:pt idx="166" formatCode="0.00%">
                  <c:v>0.11752207802125705</c:v>
                </c:pt>
                <c:pt idx="167" formatCode="0.00%">
                  <c:v>0.11299969598072915</c:v>
                </c:pt>
                <c:pt idx="168" formatCode="0.00%">
                  <c:v>0.11432081002522812</c:v>
                </c:pt>
                <c:pt idx="169" formatCode="0.00%">
                  <c:v>0.10395719767060305</c:v>
                </c:pt>
                <c:pt idx="170" formatCode="0.00%">
                  <c:v>9.6520419711894179E-2</c:v>
                </c:pt>
                <c:pt idx="171" formatCode="0.00%">
                  <c:v>8.0295717432833216E-2</c:v>
                </c:pt>
                <c:pt idx="172" formatCode="0.00%">
                  <c:v>0.12337666850613141</c:v>
                </c:pt>
                <c:pt idx="173" formatCode="0.00%">
                  <c:v>0.10307342917256782</c:v>
                </c:pt>
                <c:pt idx="174" formatCode="0.00%">
                  <c:v>9.4103069871403391E-2</c:v>
                </c:pt>
                <c:pt idx="175" formatCode="0.00%">
                  <c:v>9.1210064923601689E-2</c:v>
                </c:pt>
                <c:pt idx="176" formatCode="0.00%">
                  <c:v>9.6235031801619852E-2</c:v>
                </c:pt>
                <c:pt idx="177" formatCode="0.00%">
                  <c:v>0.10030688961097348</c:v>
                </c:pt>
                <c:pt idx="178" formatCode="0.00%">
                  <c:v>0.12885968110117582</c:v>
                </c:pt>
                <c:pt idx="179" formatCode="0.00%">
                  <c:v>9.7094519999128479E-2</c:v>
                </c:pt>
                <c:pt idx="180" formatCode="0.00%">
                  <c:v>9.722997249004009E-2</c:v>
                </c:pt>
                <c:pt idx="181" formatCode="0.00%">
                  <c:v>0.10407757598509212</c:v>
                </c:pt>
                <c:pt idx="182" formatCode="0.00%">
                  <c:v>0.11734012268938615</c:v>
                </c:pt>
                <c:pt idx="183" formatCode="0.00%">
                  <c:v>0.10927365292614855</c:v>
                </c:pt>
                <c:pt idx="184" formatCode="0.00%">
                  <c:v>9.5715679889324001E-2</c:v>
                </c:pt>
                <c:pt idx="185" formatCode="0.00%">
                  <c:v>0.1017845409535076</c:v>
                </c:pt>
                <c:pt idx="186" formatCode="0.00%">
                  <c:v>8.6693626125421669E-2</c:v>
                </c:pt>
                <c:pt idx="187" formatCode="0.00%">
                  <c:v>0.11546613979509168</c:v>
                </c:pt>
                <c:pt idx="188" formatCode="0.00%">
                  <c:v>0.11704027799335355</c:v>
                </c:pt>
                <c:pt idx="189" formatCode="0.00%">
                  <c:v>0.10236601078917312</c:v>
                </c:pt>
                <c:pt idx="190" formatCode="0.00%">
                  <c:v>9.5508216352916953E-2</c:v>
                </c:pt>
                <c:pt idx="191" formatCode="0.00%">
                  <c:v>0.1187713120238183</c:v>
                </c:pt>
                <c:pt idx="192" formatCode="0.00%">
                  <c:v>0.10771415775707045</c:v>
                </c:pt>
                <c:pt idx="193" formatCode="0.00%">
                  <c:v>0.10800251517272103</c:v>
                </c:pt>
                <c:pt idx="194" formatCode="0.00%">
                  <c:v>0.11760525563060488</c:v>
                </c:pt>
                <c:pt idx="195" formatCode="0.00%">
                  <c:v>0.11453423300936291</c:v>
                </c:pt>
                <c:pt idx="196" formatCode="0.00%">
                  <c:v>8.2846915012611405E-2</c:v>
                </c:pt>
                <c:pt idx="197" formatCode="0.00%">
                  <c:v>0.12380057831702523</c:v>
                </c:pt>
                <c:pt idx="198" formatCode="0.00%">
                  <c:v>0.11379430915137331</c:v>
                </c:pt>
                <c:pt idx="199" formatCode="0.00%">
                  <c:v>0.1183075200502556</c:v>
                </c:pt>
                <c:pt idx="200" formatCode="0.00%">
                  <c:v>9.147455479353396E-2</c:v>
                </c:pt>
                <c:pt idx="201" formatCode="0.00%">
                  <c:v>9.7614496105380338E-2</c:v>
                </c:pt>
                <c:pt idx="202" formatCode="0.00%">
                  <c:v>0.125740047380311</c:v>
                </c:pt>
                <c:pt idx="203" formatCode="0.00%">
                  <c:v>0.12024041810675767</c:v>
                </c:pt>
                <c:pt idx="204" formatCode="0.00%">
                  <c:v>9.6967665825934329E-2</c:v>
                </c:pt>
                <c:pt idx="205" formatCode="0.00%">
                  <c:v>0.11318064254141622</c:v>
                </c:pt>
                <c:pt idx="206" formatCode="0.00%">
                  <c:v>9.6051143718323323E-2</c:v>
                </c:pt>
                <c:pt idx="207" formatCode="0.00%">
                  <c:v>0.11362284922625132</c:v>
                </c:pt>
                <c:pt idx="208" formatCode="0.00%">
                  <c:v>0.12898293930308019</c:v>
                </c:pt>
                <c:pt idx="209" formatCode="0.00%">
                  <c:v>0.10604238315959016</c:v>
                </c:pt>
                <c:pt idx="210" formatCode="0.00%">
                  <c:v>0.11331480022165771</c:v>
                </c:pt>
                <c:pt idx="211" formatCode="0.00%">
                  <c:v>0.10932563474614476</c:v>
                </c:pt>
                <c:pt idx="212" formatCode="0.00%">
                  <c:v>0.12098100484547278</c:v>
                </c:pt>
                <c:pt idx="213" formatCode="0.00%">
                  <c:v>0.12197680925664331</c:v>
                </c:pt>
                <c:pt idx="214" formatCode="0.00%">
                  <c:v>0.1058612337807907</c:v>
                </c:pt>
                <c:pt idx="215" formatCode="0.00%">
                  <c:v>0.10251984516951188</c:v>
                </c:pt>
                <c:pt idx="216" formatCode="0.00%">
                  <c:v>0.11010072975244588</c:v>
                </c:pt>
                <c:pt idx="217" formatCode="0.00%">
                  <c:v>8.3779776482569429E-2</c:v>
                </c:pt>
                <c:pt idx="218" formatCode="0.00%">
                  <c:v>0.11379679769819213</c:v>
                </c:pt>
                <c:pt idx="219" formatCode="0.00%">
                  <c:v>9.8237982786067407E-2</c:v>
                </c:pt>
                <c:pt idx="220" formatCode="0.00%">
                  <c:v>0.10247943113715396</c:v>
                </c:pt>
                <c:pt idx="221" formatCode="0.00%">
                  <c:v>9.0392687728667848E-2</c:v>
                </c:pt>
                <c:pt idx="222" formatCode="0.00%">
                  <c:v>9.8521671762073396E-2</c:v>
                </c:pt>
                <c:pt idx="223" formatCode="0.00%">
                  <c:v>0.11148699403390663</c:v>
                </c:pt>
                <c:pt idx="224" formatCode="0.00%">
                  <c:v>7.6873690714418283E-2</c:v>
                </c:pt>
                <c:pt idx="225" formatCode="0.00%">
                  <c:v>0.12608473864510833</c:v>
                </c:pt>
                <c:pt idx="226" formatCode="0.00%">
                  <c:v>0.12752550054426307</c:v>
                </c:pt>
                <c:pt idx="227" formatCode="0.00%">
                  <c:v>0.11739911444534706</c:v>
                </c:pt>
                <c:pt idx="228" formatCode="0.00%">
                  <c:v>0.11111220813766004</c:v>
                </c:pt>
                <c:pt idx="229" formatCode="0.00%">
                  <c:v>0.1299111562749686</c:v>
                </c:pt>
                <c:pt idx="230" formatCode="0.00%">
                  <c:v>0.10223552427429319</c:v>
                </c:pt>
                <c:pt idx="231" formatCode="0.00%">
                  <c:v>0.10899026911389566</c:v>
                </c:pt>
                <c:pt idx="232" formatCode="0.00%">
                  <c:v>0.10248376097323739</c:v>
                </c:pt>
                <c:pt idx="233" formatCode="0.00%">
                  <c:v>7.388722604094862E-2</c:v>
                </c:pt>
                <c:pt idx="234" formatCode="0.00%">
                  <c:v>9.7561943102376619E-2</c:v>
                </c:pt>
                <c:pt idx="235" formatCode="0.00%">
                  <c:v>0.11910902233931678</c:v>
                </c:pt>
                <c:pt idx="236" formatCode="0.00%">
                  <c:v>0.10391049701624487</c:v>
                </c:pt>
                <c:pt idx="237" formatCode="0.00%">
                  <c:v>0.12478757146253884</c:v>
                </c:pt>
                <c:pt idx="238" formatCode="0.00%">
                  <c:v>9.9879819646211926E-2</c:v>
                </c:pt>
                <c:pt idx="239" formatCode="0.00%">
                  <c:v>0.13721605686984104</c:v>
                </c:pt>
                <c:pt idx="240" formatCode="0.00%">
                  <c:v>8.3741840430336639E-2</c:v>
                </c:pt>
                <c:pt idx="241" formatCode="0.00%">
                  <c:v>9.3806217224763344E-2</c:v>
                </c:pt>
                <c:pt idx="242" formatCode="0.00%">
                  <c:v>0.11575058811668246</c:v>
                </c:pt>
                <c:pt idx="243" formatCode="0.00%">
                  <c:v>9.1675733837368434E-2</c:v>
                </c:pt>
                <c:pt idx="244" formatCode="0.00%">
                  <c:v>0.11155094665511203</c:v>
                </c:pt>
                <c:pt idx="245" formatCode="0.00%">
                  <c:v>0.11042673948675664</c:v>
                </c:pt>
                <c:pt idx="246" formatCode="0.00%">
                  <c:v>9.6742531421781089E-2</c:v>
                </c:pt>
                <c:pt idx="247" formatCode="0.00%">
                  <c:v>9.9736041470307707E-2</c:v>
                </c:pt>
                <c:pt idx="248" formatCode="0.00%">
                  <c:v>9.8842726355794691E-2</c:v>
                </c:pt>
                <c:pt idx="249" formatCode="0.00%">
                  <c:v>7.6689877538102982E-2</c:v>
                </c:pt>
                <c:pt idx="250" formatCode="0.00%">
                  <c:v>9.9077560868846989E-2</c:v>
                </c:pt>
                <c:pt idx="251" formatCode="0.00%">
                  <c:v>0.12511218495286547</c:v>
                </c:pt>
                <c:pt idx="252" formatCode="0.00%">
                  <c:v>9.2297272670669964E-2</c:v>
                </c:pt>
                <c:pt idx="253" formatCode="0.00%">
                  <c:v>0.1159384208176118</c:v>
                </c:pt>
                <c:pt idx="254" formatCode="0.00%">
                  <c:v>7.9783339884620941E-2</c:v>
                </c:pt>
                <c:pt idx="255" formatCode="0.00%">
                  <c:v>0.1067223743648604</c:v>
                </c:pt>
                <c:pt idx="256" formatCode="0.00%">
                  <c:v>0.10975647460526941</c:v>
                </c:pt>
                <c:pt idx="257" formatCode="0.00%">
                  <c:v>0.10795874635075106</c:v>
                </c:pt>
                <c:pt idx="258" formatCode="0.00%">
                  <c:v>9.8050168294409587E-2</c:v>
                </c:pt>
                <c:pt idx="259" formatCode="0.00%">
                  <c:v>7.7771950568322701E-2</c:v>
                </c:pt>
                <c:pt idx="260" formatCode="0.00%">
                  <c:v>8.7750626189955189E-2</c:v>
                </c:pt>
                <c:pt idx="261" formatCode="0.00%">
                  <c:v>7.8469722108294643E-2</c:v>
                </c:pt>
                <c:pt idx="262" formatCode="0.00%">
                  <c:v>9.5041581024321531E-2</c:v>
                </c:pt>
                <c:pt idx="263" formatCode="0.00%">
                  <c:v>9.1904398580849034E-2</c:v>
                </c:pt>
                <c:pt idx="264" formatCode="0.00%">
                  <c:v>8.5065468488415424E-2</c:v>
                </c:pt>
                <c:pt idx="265" formatCode="0.00%">
                  <c:v>9.0098123130454288E-2</c:v>
                </c:pt>
                <c:pt idx="266" formatCode="0.00%">
                  <c:v>0.11740765920029039</c:v>
                </c:pt>
                <c:pt idx="267" formatCode="0.00%">
                  <c:v>9.6219372012746607E-2</c:v>
                </c:pt>
                <c:pt idx="268" formatCode="0.00%">
                  <c:v>0.10032095007185921</c:v>
                </c:pt>
                <c:pt idx="269" formatCode="0.00%">
                  <c:v>0.10885089015170901</c:v>
                </c:pt>
                <c:pt idx="270" formatCode="0.00%">
                  <c:v>8.7653181680892034E-2</c:v>
                </c:pt>
                <c:pt idx="271" formatCode="0.00%">
                  <c:v>0.10961995614731077</c:v>
                </c:pt>
                <c:pt idx="272" formatCode="0.00%">
                  <c:v>0.11640949833016048</c:v>
                </c:pt>
                <c:pt idx="273" formatCode="0.00%">
                  <c:v>0.1222689162920778</c:v>
                </c:pt>
                <c:pt idx="274" formatCode="0.00%">
                  <c:v>0.11792688502667399</c:v>
                </c:pt>
                <c:pt idx="275" formatCode="0.00%">
                  <c:v>0.1131789191018432</c:v>
                </c:pt>
                <c:pt idx="276" formatCode="0.00%">
                  <c:v>9.9019667181853663E-2</c:v>
                </c:pt>
                <c:pt idx="277" formatCode="0.00%">
                  <c:v>7.9025315928985831E-2</c:v>
                </c:pt>
                <c:pt idx="278" formatCode="0.00%">
                  <c:v>9.613583420396199E-2</c:v>
                </c:pt>
                <c:pt idx="279" formatCode="0.00%">
                  <c:v>8.3093807857984675E-2</c:v>
                </c:pt>
                <c:pt idx="280" formatCode="0.00%">
                  <c:v>8.0371932097480198E-2</c:v>
                </c:pt>
                <c:pt idx="281" formatCode="0.00%">
                  <c:v>9.2348592187337208E-2</c:v>
                </c:pt>
                <c:pt idx="282" formatCode="0.00%">
                  <c:v>0.11755932568901556</c:v>
                </c:pt>
                <c:pt idx="283" formatCode="0.00%">
                  <c:v>0.14075879886802517</c:v>
                </c:pt>
                <c:pt idx="284" formatCode="0.00%">
                  <c:v>9.3751953853306064E-2</c:v>
                </c:pt>
                <c:pt idx="285" formatCode="0.00%">
                  <c:v>0.10709766424720132</c:v>
                </c:pt>
                <c:pt idx="286" formatCode="0.00%">
                  <c:v>0.10998760213136591</c:v>
                </c:pt>
                <c:pt idx="287" formatCode="0.00%">
                  <c:v>9.4112129148062468E-2</c:v>
                </c:pt>
                <c:pt idx="288" formatCode="0.00%">
                  <c:v>0.13766422711405168</c:v>
                </c:pt>
                <c:pt idx="289" formatCode="0.00%">
                  <c:v>0.102700916661322</c:v>
                </c:pt>
                <c:pt idx="290" formatCode="0.00%">
                  <c:v>0.11760741692675736</c:v>
                </c:pt>
                <c:pt idx="291" formatCode="0.00%">
                  <c:v>8.9853770215155754E-2</c:v>
                </c:pt>
                <c:pt idx="292" formatCode="0.00%">
                  <c:v>9.9541946418001612E-2</c:v>
                </c:pt>
                <c:pt idx="293" formatCode="0.00%">
                  <c:v>0.11948194191652375</c:v>
                </c:pt>
                <c:pt idx="294" formatCode="0.00%">
                  <c:v>0.10662905519284092</c:v>
                </c:pt>
                <c:pt idx="295" formatCode="0.00%">
                  <c:v>0.11352641233407407</c:v>
                </c:pt>
                <c:pt idx="296" formatCode="0.00%">
                  <c:v>0.1079750143733432</c:v>
                </c:pt>
                <c:pt idx="297" formatCode="0.00%">
                  <c:v>0.11116849477100983</c:v>
                </c:pt>
                <c:pt idx="298" formatCode="0.00%">
                  <c:v>0.10701892929883072</c:v>
                </c:pt>
                <c:pt idx="299" formatCode="0.00%">
                  <c:v>9.5599294226424755E-2</c:v>
                </c:pt>
                <c:pt idx="300" formatCode="0.00%">
                  <c:v>0.10768319736601856</c:v>
                </c:pt>
                <c:pt idx="301" formatCode="0.00%">
                  <c:v>0.1173069197065075</c:v>
                </c:pt>
                <c:pt idx="302" formatCode="0.00%">
                  <c:v>0.10927995856308954</c:v>
                </c:pt>
                <c:pt idx="303" formatCode="0.00%">
                  <c:v>8.7376975874246657E-2</c:v>
                </c:pt>
                <c:pt idx="304" formatCode="0.00%">
                  <c:v>0.10953928716932798</c:v>
                </c:pt>
                <c:pt idx="305" formatCode="0.00%">
                  <c:v>9.4955457755198466E-2</c:v>
                </c:pt>
                <c:pt idx="306" formatCode="0.00%">
                  <c:v>0.10319534381781961</c:v>
                </c:pt>
                <c:pt idx="307" formatCode="0.00%">
                  <c:v>8.2677360610057898E-2</c:v>
                </c:pt>
                <c:pt idx="308" formatCode="0.00%">
                  <c:v>0.10423773646890808</c:v>
                </c:pt>
                <c:pt idx="309" formatCode="0.00%">
                  <c:v>9.261424334580462E-2</c:v>
                </c:pt>
                <c:pt idx="310" formatCode="0.00%">
                  <c:v>0.11266637705853436</c:v>
                </c:pt>
                <c:pt idx="311" formatCode="0.00%">
                  <c:v>0.100813926930822</c:v>
                </c:pt>
                <c:pt idx="312" formatCode="0.00%">
                  <c:v>0.11458038656009005</c:v>
                </c:pt>
                <c:pt idx="313" formatCode="0.00%">
                  <c:v>0.1021521089646944</c:v>
                </c:pt>
                <c:pt idx="314" formatCode="0.00%">
                  <c:v>0.12187969629035847</c:v>
                </c:pt>
                <c:pt idx="315" formatCode="0.00%">
                  <c:v>0.10636779591338039</c:v>
                </c:pt>
                <c:pt idx="316" formatCode="0.00%">
                  <c:v>7.5889828348518179E-2</c:v>
                </c:pt>
                <c:pt idx="317" formatCode="0.00%">
                  <c:v>0.11248694112251031</c:v>
                </c:pt>
                <c:pt idx="318" formatCode="0.00%">
                  <c:v>0.10598495266212171</c:v>
                </c:pt>
                <c:pt idx="319" formatCode="0.00%">
                  <c:v>7.5404542947547268E-2</c:v>
                </c:pt>
                <c:pt idx="320" formatCode="0.00%">
                  <c:v>9.3429284228232476E-2</c:v>
                </c:pt>
                <c:pt idx="321" formatCode="0.00%">
                  <c:v>8.5051678945191111E-2</c:v>
                </c:pt>
                <c:pt idx="322" formatCode="0.00%">
                  <c:v>0.10226831947089902</c:v>
                </c:pt>
                <c:pt idx="323" formatCode="0.00%">
                  <c:v>0.11991604908631821</c:v>
                </c:pt>
                <c:pt idx="324" formatCode="0.00%">
                  <c:v>9.5061360811742379E-2</c:v>
                </c:pt>
                <c:pt idx="325" formatCode="0.00%">
                  <c:v>0.1182425648813418</c:v>
                </c:pt>
                <c:pt idx="326" formatCode="0.00%">
                  <c:v>0.10757387073330865</c:v>
                </c:pt>
                <c:pt idx="327" formatCode="0.00%">
                  <c:v>8.5403676539323264E-2</c:v>
                </c:pt>
                <c:pt idx="328" formatCode="0.00%">
                  <c:v>8.9683904731063357E-2</c:v>
                </c:pt>
                <c:pt idx="329" formatCode="0.00%">
                  <c:v>0.10832749672801514</c:v>
                </c:pt>
                <c:pt idx="330" formatCode="0.00%">
                  <c:v>9.8659870699016508E-2</c:v>
                </c:pt>
                <c:pt idx="331" formatCode="0.00%">
                  <c:v>0.12078371099270985</c:v>
                </c:pt>
                <c:pt idx="332" formatCode="0.00%">
                  <c:v>9.8370351531221409E-2</c:v>
                </c:pt>
                <c:pt idx="333" formatCode="0.00%">
                  <c:v>0.11146896642584916</c:v>
                </c:pt>
                <c:pt idx="334" formatCode="0.00%">
                  <c:v>0.12381504327673257</c:v>
                </c:pt>
                <c:pt idx="335" formatCode="0.00%">
                  <c:v>0.10278517942346416</c:v>
                </c:pt>
                <c:pt idx="336" formatCode="0.00%">
                  <c:v>0.1223016626756894</c:v>
                </c:pt>
                <c:pt idx="337" formatCode="0.00%">
                  <c:v>0.11280215916193422</c:v>
                </c:pt>
                <c:pt idx="338" formatCode="0.00%">
                  <c:v>7.9284604730394739E-2</c:v>
                </c:pt>
                <c:pt idx="339" formatCode="0.00%">
                  <c:v>0.1071132647070922</c:v>
                </c:pt>
                <c:pt idx="340" formatCode="0.00%">
                  <c:v>0.12145613881459057</c:v>
                </c:pt>
                <c:pt idx="341" formatCode="0.00%">
                  <c:v>0.10586644064220538</c:v>
                </c:pt>
                <c:pt idx="342" formatCode="0.00%">
                  <c:v>9.3074745077237592E-2</c:v>
                </c:pt>
                <c:pt idx="343" formatCode="0.00%">
                  <c:v>0.12114195443559818</c:v>
                </c:pt>
                <c:pt idx="344" formatCode="0.00%">
                  <c:v>8.3492358841635028E-2</c:v>
                </c:pt>
                <c:pt idx="345" formatCode="0.00%">
                  <c:v>0.11342619436022819</c:v>
                </c:pt>
                <c:pt idx="346" formatCode="0.00%">
                  <c:v>0.11722520221820329</c:v>
                </c:pt>
                <c:pt idx="347" formatCode="0.00%">
                  <c:v>0.11404763158455206</c:v>
                </c:pt>
                <c:pt idx="348" formatCode="0.00%">
                  <c:v>0.12397582639422902</c:v>
                </c:pt>
                <c:pt idx="349" formatCode="0.00%">
                  <c:v>8.8048195584013583E-2</c:v>
                </c:pt>
                <c:pt idx="350" formatCode="0.00%">
                  <c:v>0.10392562355942103</c:v>
                </c:pt>
                <c:pt idx="351" formatCode="0.00%">
                  <c:v>9.3980718568875937E-2</c:v>
                </c:pt>
                <c:pt idx="352" formatCode="0.00%">
                  <c:v>0.11434772732568577</c:v>
                </c:pt>
                <c:pt idx="353" formatCode="0.00%">
                  <c:v>9.9795428198833275E-2</c:v>
                </c:pt>
                <c:pt idx="354" formatCode="0.00%">
                  <c:v>7.2017082175586139E-2</c:v>
                </c:pt>
                <c:pt idx="355" formatCode="0.00%">
                  <c:v>9.0353615846670149E-2</c:v>
                </c:pt>
                <c:pt idx="356" formatCode="0.00%">
                  <c:v>0.12933564738435449</c:v>
                </c:pt>
                <c:pt idx="357" formatCode="0.00%">
                  <c:v>9.8653591306870847E-2</c:v>
                </c:pt>
                <c:pt idx="358" formatCode="0.00%">
                  <c:v>0.10808191352576275</c:v>
                </c:pt>
                <c:pt idx="359" formatCode="0.00%">
                  <c:v>0.1163855299284189</c:v>
                </c:pt>
                <c:pt idx="360" formatCode="0.00%">
                  <c:v>0.11179951255437626</c:v>
                </c:pt>
                <c:pt idx="361" formatCode="0.00%">
                  <c:v>0.10926610568317027</c:v>
                </c:pt>
                <c:pt idx="362" formatCode="0.00%">
                  <c:v>0.11143711464377672</c:v>
                </c:pt>
                <c:pt idx="363" formatCode="0.00%">
                  <c:v>0.11931783651371164</c:v>
                </c:pt>
                <c:pt idx="364" formatCode="0.00%">
                  <c:v>9.4098325360972151E-2</c:v>
                </c:pt>
                <c:pt idx="365" formatCode="0.00%">
                  <c:v>0.1000529442756498</c:v>
                </c:pt>
                <c:pt idx="366" formatCode="0.00%">
                  <c:v>8.6027016465902245E-2</c:v>
                </c:pt>
                <c:pt idx="367" formatCode="0.00%">
                  <c:v>9.8981169705756544E-2</c:v>
                </c:pt>
                <c:pt idx="368" formatCode="0.00%">
                  <c:v>0.10292639988896407</c:v>
                </c:pt>
                <c:pt idx="369" formatCode="0.00%">
                  <c:v>0.10677221355032497</c:v>
                </c:pt>
                <c:pt idx="370" formatCode="0.00%">
                  <c:v>9.9451116600138834E-2</c:v>
                </c:pt>
                <c:pt idx="371" formatCode="0.00%">
                  <c:v>9.7423415156330434E-2</c:v>
                </c:pt>
                <c:pt idx="372" formatCode="0.00%">
                  <c:v>0.1276630830849359</c:v>
                </c:pt>
                <c:pt idx="373" formatCode="0.00%">
                  <c:v>0.11972854575138647</c:v>
                </c:pt>
                <c:pt idx="374" formatCode="0.00%">
                  <c:v>0.11178733613053773</c:v>
                </c:pt>
                <c:pt idx="375" formatCode="0.00%">
                  <c:v>9.8268344430379337E-2</c:v>
                </c:pt>
                <c:pt idx="376" formatCode="0.00%">
                  <c:v>8.9599303056109081E-2</c:v>
                </c:pt>
                <c:pt idx="377" formatCode="0.00%">
                  <c:v>9.6343617311281091E-2</c:v>
                </c:pt>
                <c:pt idx="378" formatCode="0.00%">
                  <c:v>0.10948713346119601</c:v>
                </c:pt>
                <c:pt idx="379" formatCode="0.00%">
                  <c:v>9.2884466160840701E-2</c:v>
                </c:pt>
                <c:pt idx="380" formatCode="0.00%">
                  <c:v>8.3738132804591692E-2</c:v>
                </c:pt>
                <c:pt idx="381" formatCode="0.00%">
                  <c:v>0.12546741815541493</c:v>
                </c:pt>
                <c:pt idx="382" formatCode="0.00%">
                  <c:v>8.8309097945146686E-2</c:v>
                </c:pt>
                <c:pt idx="383" formatCode="0.00%">
                  <c:v>0.10229512134364488</c:v>
                </c:pt>
                <c:pt idx="384" formatCode="0.00%">
                  <c:v>0.10063148283677348</c:v>
                </c:pt>
                <c:pt idx="385" formatCode="0.00%">
                  <c:v>0.10714341327014708</c:v>
                </c:pt>
                <c:pt idx="386" formatCode="0.00%">
                  <c:v>0.10984756719711079</c:v>
                </c:pt>
                <c:pt idx="387" formatCode="0.00%">
                  <c:v>0.10317291090871102</c:v>
                </c:pt>
                <c:pt idx="388" formatCode="0.00%">
                  <c:v>0.10623305972478081</c:v>
                </c:pt>
                <c:pt idx="389" formatCode="0.00%">
                  <c:v>0.10258093316893327</c:v>
                </c:pt>
                <c:pt idx="390" formatCode="0.00%">
                  <c:v>8.8689714304290068E-2</c:v>
                </c:pt>
                <c:pt idx="391" formatCode="0.00%">
                  <c:v>0.12465214989934137</c:v>
                </c:pt>
                <c:pt idx="392" formatCode="0.00%">
                  <c:v>8.2818792599982566E-2</c:v>
                </c:pt>
                <c:pt idx="393" formatCode="0.00%">
                  <c:v>7.9824555818460485E-2</c:v>
                </c:pt>
                <c:pt idx="394" formatCode="0.00%">
                  <c:v>9.8658000368096938E-2</c:v>
                </c:pt>
                <c:pt idx="395" formatCode="0.00%">
                  <c:v>9.1994076621694232E-2</c:v>
                </c:pt>
                <c:pt idx="396" formatCode="0.00%">
                  <c:v>9.8076598511615209E-2</c:v>
                </c:pt>
                <c:pt idx="397" formatCode="0.00%">
                  <c:v>0.11195643967533184</c:v>
                </c:pt>
                <c:pt idx="398" formatCode="0.00%">
                  <c:v>0.11068303691255452</c:v>
                </c:pt>
                <c:pt idx="399" formatCode="0.00%">
                  <c:v>0.11304968668631153</c:v>
                </c:pt>
                <c:pt idx="400" formatCode="0.00%">
                  <c:v>0.11626725888178238</c:v>
                </c:pt>
                <c:pt idx="401" formatCode="0.00%">
                  <c:v>9.7749927577338885E-2</c:v>
                </c:pt>
                <c:pt idx="402" formatCode="0.00%">
                  <c:v>9.7867543041547517E-2</c:v>
                </c:pt>
                <c:pt idx="403" formatCode="0.00%">
                  <c:v>8.0088630654081797E-2</c:v>
                </c:pt>
                <c:pt idx="404" formatCode="0.00%">
                  <c:v>0.1103072518489432</c:v>
                </c:pt>
                <c:pt idx="405" formatCode="0.00%">
                  <c:v>0.13036245565373533</c:v>
                </c:pt>
                <c:pt idx="406" formatCode="0.00%">
                  <c:v>0.10532759129140075</c:v>
                </c:pt>
                <c:pt idx="407" formatCode="0.00%">
                  <c:v>0.11253715941043385</c:v>
                </c:pt>
                <c:pt idx="408" formatCode="0.00%">
                  <c:v>0.10740263623215485</c:v>
                </c:pt>
                <c:pt idx="409" formatCode="0.00%">
                  <c:v>0.12895203585413811</c:v>
                </c:pt>
                <c:pt idx="410" formatCode="0.00%">
                  <c:v>8.7658686180817735E-2</c:v>
                </c:pt>
                <c:pt idx="411" formatCode="0.00%">
                  <c:v>0.1034310156779859</c:v>
                </c:pt>
                <c:pt idx="412" formatCode="0.00%">
                  <c:v>0.11900892869501961</c:v>
                </c:pt>
                <c:pt idx="413" formatCode="0.00%">
                  <c:v>8.4418580706376506E-2</c:v>
                </c:pt>
                <c:pt idx="414" formatCode="0.00%">
                  <c:v>0.11499577844911951</c:v>
                </c:pt>
                <c:pt idx="415" formatCode="0.00%">
                  <c:v>8.2133066697410953E-2</c:v>
                </c:pt>
                <c:pt idx="416" formatCode="0.00%">
                  <c:v>0.10691550047485049</c:v>
                </c:pt>
                <c:pt idx="417" formatCode="0.00%">
                  <c:v>0.12008022821115821</c:v>
                </c:pt>
                <c:pt idx="418" formatCode="0.00%">
                  <c:v>0.12474053251651002</c:v>
                </c:pt>
                <c:pt idx="419" formatCode="0.00%">
                  <c:v>0.11915363053132888</c:v>
                </c:pt>
                <c:pt idx="420" formatCode="0.00%">
                  <c:v>9.5964165247887187E-2</c:v>
                </c:pt>
                <c:pt idx="421" formatCode="0.00%">
                  <c:v>0.10422566319623527</c:v>
                </c:pt>
                <c:pt idx="422" formatCode="0.00%">
                  <c:v>0.11235949232082953</c:v>
                </c:pt>
                <c:pt idx="423" formatCode="0.00%">
                  <c:v>9.1241739656768586E-2</c:v>
                </c:pt>
                <c:pt idx="424" formatCode="0.00%">
                  <c:v>8.744669170987171E-2</c:v>
                </c:pt>
                <c:pt idx="425" formatCode="0.00%">
                  <c:v>0.11977637047522882</c:v>
                </c:pt>
                <c:pt idx="426" formatCode="0.00%">
                  <c:v>8.211975784731565E-2</c:v>
                </c:pt>
                <c:pt idx="427" formatCode="0.00%">
                  <c:v>9.336504925963568E-2</c:v>
                </c:pt>
                <c:pt idx="428" formatCode="0.00%">
                  <c:v>0.10606609847635863</c:v>
                </c:pt>
                <c:pt idx="429" formatCode="0.00%">
                  <c:v>9.1803894087531937E-2</c:v>
                </c:pt>
                <c:pt idx="430" formatCode="0.00%">
                  <c:v>0.11811941140913734</c:v>
                </c:pt>
                <c:pt idx="431" formatCode="0.00%">
                  <c:v>0.102092711671822</c:v>
                </c:pt>
                <c:pt idx="432" formatCode="0.00%">
                  <c:v>9.2300988130097211E-2</c:v>
                </c:pt>
                <c:pt idx="433" formatCode="0.00%">
                  <c:v>0.10714210725039831</c:v>
                </c:pt>
                <c:pt idx="434" formatCode="0.00%">
                  <c:v>8.8835557372969054E-2</c:v>
                </c:pt>
                <c:pt idx="435" formatCode="0.00%">
                  <c:v>0.10795963871588352</c:v>
                </c:pt>
                <c:pt idx="436" formatCode="0.00%">
                  <c:v>0.12122363230812537</c:v>
                </c:pt>
                <c:pt idx="437" formatCode="0.00%">
                  <c:v>0.12289660326729687</c:v>
                </c:pt>
                <c:pt idx="438" formatCode="0.00%">
                  <c:v>0.10746559991485456</c:v>
                </c:pt>
                <c:pt idx="439" formatCode="0.00%">
                  <c:v>0.11490446323734477</c:v>
                </c:pt>
                <c:pt idx="440" formatCode="0.00%">
                  <c:v>9.9277818993028899E-2</c:v>
                </c:pt>
                <c:pt idx="441" formatCode="0.00%">
                  <c:v>0.10448281724535105</c:v>
                </c:pt>
                <c:pt idx="442" formatCode="0.00%">
                  <c:v>0.10445445623635556</c:v>
                </c:pt>
                <c:pt idx="443" formatCode="0.00%">
                  <c:v>0.11013704873109512</c:v>
                </c:pt>
                <c:pt idx="444" formatCode="0.00%">
                  <c:v>9.4363210633275324E-2</c:v>
                </c:pt>
                <c:pt idx="445" formatCode="0.00%">
                  <c:v>8.8341561179289013E-2</c:v>
                </c:pt>
                <c:pt idx="446" formatCode="0.00%">
                  <c:v>0.10324882378085332</c:v>
                </c:pt>
                <c:pt idx="447" formatCode="0.00%">
                  <c:v>0.10031431414519239</c:v>
                </c:pt>
                <c:pt idx="448" formatCode="0.00%">
                  <c:v>9.2238213584311807E-2</c:v>
                </c:pt>
                <c:pt idx="449" formatCode="0.00%">
                  <c:v>8.3032284815748578E-2</c:v>
                </c:pt>
                <c:pt idx="450" formatCode="0.00%">
                  <c:v>9.7373533955485064E-2</c:v>
                </c:pt>
                <c:pt idx="451" formatCode="0.00%">
                  <c:v>9.6228631708034779E-2</c:v>
                </c:pt>
                <c:pt idx="452" formatCode="0.00%">
                  <c:v>7.019296444710002E-2</c:v>
                </c:pt>
                <c:pt idx="453" formatCode="0.00%">
                  <c:v>7.9588198639837363E-2</c:v>
                </c:pt>
                <c:pt idx="454" formatCode="0.00%">
                  <c:v>9.5310613856311385E-2</c:v>
                </c:pt>
                <c:pt idx="455" formatCode="0.00%">
                  <c:v>0.12010243098742981</c:v>
                </c:pt>
                <c:pt idx="456" formatCode="0.00%">
                  <c:v>9.9125351383131541E-2</c:v>
                </c:pt>
                <c:pt idx="457" formatCode="0.00%">
                  <c:v>8.8575595594921328E-2</c:v>
                </c:pt>
                <c:pt idx="458" formatCode="0.00%">
                  <c:v>9.3267666709445696E-2</c:v>
                </c:pt>
                <c:pt idx="459" formatCode="0.00%">
                  <c:v>7.0412363456611643E-2</c:v>
                </c:pt>
                <c:pt idx="460" formatCode="0.00%">
                  <c:v>0.11870484387830106</c:v>
                </c:pt>
                <c:pt idx="461" formatCode="0.00%">
                  <c:v>9.3355568854410723E-2</c:v>
                </c:pt>
                <c:pt idx="462" formatCode="0.00%">
                  <c:v>8.5686871670374559E-2</c:v>
                </c:pt>
                <c:pt idx="463" formatCode="0.00%">
                  <c:v>8.9469587723144103E-2</c:v>
                </c:pt>
                <c:pt idx="464" formatCode="0.00%">
                  <c:v>8.986449558381196E-2</c:v>
                </c:pt>
                <c:pt idx="465" formatCode="0.00%">
                  <c:v>9.7087227118584418E-2</c:v>
                </c:pt>
                <c:pt idx="466" formatCode="0.00%">
                  <c:v>0.10997244157483393</c:v>
                </c:pt>
                <c:pt idx="467" formatCode="0.00%">
                  <c:v>0.12307872630670474</c:v>
                </c:pt>
                <c:pt idx="468" formatCode="0.00%">
                  <c:v>0.12477617097184093</c:v>
                </c:pt>
                <c:pt idx="469" formatCode="0.00%">
                  <c:v>0.1018876915690488</c:v>
                </c:pt>
                <c:pt idx="470" formatCode="0.00%">
                  <c:v>9.5861498820105334E-2</c:v>
                </c:pt>
                <c:pt idx="471" formatCode="0.00%">
                  <c:v>0.12618321954335157</c:v>
                </c:pt>
                <c:pt idx="472" formatCode="0.00%">
                  <c:v>0.10647690621762398</c:v>
                </c:pt>
                <c:pt idx="473" formatCode="0.00%">
                  <c:v>0.10347891561349995</c:v>
                </c:pt>
                <c:pt idx="474" formatCode="0.00%">
                  <c:v>0.12103110566218639</c:v>
                </c:pt>
                <c:pt idx="475" formatCode="0.00%">
                  <c:v>9.8734724743305524E-2</c:v>
                </c:pt>
                <c:pt idx="476" formatCode="0.00%">
                  <c:v>8.7556313958055021E-2</c:v>
                </c:pt>
                <c:pt idx="477" formatCode="0.00%">
                  <c:v>0.11340630416215716</c:v>
                </c:pt>
                <c:pt idx="478" formatCode="0.00%">
                  <c:v>9.2002623829199104E-2</c:v>
                </c:pt>
                <c:pt idx="479" formatCode="0.00%">
                  <c:v>0.11414422116821453</c:v>
                </c:pt>
                <c:pt idx="480" formatCode="0.00%">
                  <c:v>0.1180534046609692</c:v>
                </c:pt>
                <c:pt idx="481" formatCode="0.00%">
                  <c:v>0.10576827480067089</c:v>
                </c:pt>
                <c:pt idx="482" formatCode="0.00%">
                  <c:v>0.11024566579479034</c:v>
                </c:pt>
                <c:pt idx="483" formatCode="0.00%">
                  <c:v>9.3878785344518503E-2</c:v>
                </c:pt>
                <c:pt idx="484" formatCode="0.00%">
                  <c:v>0.10822855283259711</c:v>
                </c:pt>
                <c:pt idx="485" formatCode="0.00%">
                  <c:v>0.1048575674141992</c:v>
                </c:pt>
                <c:pt idx="486" formatCode="0.00%">
                  <c:v>0.11021728086102867</c:v>
                </c:pt>
                <c:pt idx="487" formatCode="0.00%">
                  <c:v>0.10699537302854772</c:v>
                </c:pt>
                <c:pt idx="488" formatCode="0.00%">
                  <c:v>9.9157391872366982E-2</c:v>
                </c:pt>
                <c:pt idx="489" formatCode="0.00%">
                  <c:v>9.7172457070635182E-2</c:v>
                </c:pt>
                <c:pt idx="490" formatCode="0.00%">
                  <c:v>0.12511206673307562</c:v>
                </c:pt>
                <c:pt idx="491" formatCode="0.00%">
                  <c:v>0.10451801073636477</c:v>
                </c:pt>
                <c:pt idx="492" formatCode="0.00%">
                  <c:v>0.10303096666507186</c:v>
                </c:pt>
                <c:pt idx="493" formatCode="0.00%">
                  <c:v>9.760315569111247E-2</c:v>
                </c:pt>
                <c:pt idx="494" formatCode="0.00%">
                  <c:v>9.3612486913990725E-2</c:v>
                </c:pt>
                <c:pt idx="495" formatCode="0.00%">
                  <c:v>0.10030907324831828</c:v>
                </c:pt>
                <c:pt idx="496" formatCode="0.00%">
                  <c:v>9.6637171808976116E-2</c:v>
                </c:pt>
                <c:pt idx="497" formatCode="0.00%">
                  <c:v>9.1463434355816914E-2</c:v>
                </c:pt>
                <c:pt idx="498" formatCode="0.00%">
                  <c:v>8.7694882158452142E-2</c:v>
                </c:pt>
                <c:pt idx="499" formatCode="0.00%">
                  <c:v>0.11981237390702998</c:v>
                </c:pt>
                <c:pt idx="500" formatCode="0.00%">
                  <c:v>0.12444597601859744</c:v>
                </c:pt>
                <c:pt idx="501" formatCode="0.00%">
                  <c:v>0.10069638875382743</c:v>
                </c:pt>
                <c:pt idx="502" formatCode="0.00%">
                  <c:v>7.9298278944908651E-2</c:v>
                </c:pt>
                <c:pt idx="503" formatCode="0.00%">
                  <c:v>0.12074621822837106</c:v>
                </c:pt>
                <c:pt idx="504" formatCode="0.00%">
                  <c:v>9.7838086654858977E-2</c:v>
                </c:pt>
                <c:pt idx="505" formatCode="0.00%">
                  <c:v>8.937806075773308E-2</c:v>
                </c:pt>
                <c:pt idx="506" formatCode="0.00%">
                  <c:v>0.1005260996594191</c:v>
                </c:pt>
                <c:pt idx="507" formatCode="0.00%">
                  <c:v>9.251190215996824E-2</c:v>
                </c:pt>
                <c:pt idx="508" formatCode="0.00%">
                  <c:v>9.7017395040925852E-2</c:v>
                </c:pt>
                <c:pt idx="509" formatCode="0.00%">
                  <c:v>8.9442374039866393E-2</c:v>
                </c:pt>
                <c:pt idx="510" formatCode="0.00%">
                  <c:v>9.3383984253665508E-2</c:v>
                </c:pt>
                <c:pt idx="511" formatCode="0.00%">
                  <c:v>9.9865571114128332E-2</c:v>
                </c:pt>
                <c:pt idx="512" formatCode="0.00%">
                  <c:v>8.8186063495727704E-2</c:v>
                </c:pt>
                <c:pt idx="513" formatCode="0.00%">
                  <c:v>9.359604068867397E-2</c:v>
                </c:pt>
                <c:pt idx="514" formatCode="0.00%">
                  <c:v>9.2602809325742691E-2</c:v>
                </c:pt>
                <c:pt idx="515" formatCode="0.00%">
                  <c:v>8.6943811584426392E-2</c:v>
                </c:pt>
                <c:pt idx="516" formatCode="0.00%">
                  <c:v>7.5623774580102929E-2</c:v>
                </c:pt>
                <c:pt idx="517" formatCode="0.00%">
                  <c:v>0.10334511519301673</c:v>
                </c:pt>
                <c:pt idx="518" formatCode="0.00%">
                  <c:v>0.11151075199090854</c:v>
                </c:pt>
                <c:pt idx="519" formatCode="0.00%">
                  <c:v>0.14003066859042326</c:v>
                </c:pt>
                <c:pt idx="520" formatCode="0.00%">
                  <c:v>0.11187198991045308</c:v>
                </c:pt>
                <c:pt idx="521" formatCode="0.00%">
                  <c:v>9.5265414020860431E-2</c:v>
                </c:pt>
                <c:pt idx="522" formatCode="0.00%">
                  <c:v>0.10314754053195652</c:v>
                </c:pt>
                <c:pt idx="523" formatCode="0.00%">
                  <c:v>0.12288398127920726</c:v>
                </c:pt>
                <c:pt idx="524" formatCode="0.00%">
                  <c:v>0.11393100168910811</c:v>
                </c:pt>
                <c:pt idx="525" formatCode="0.00%">
                  <c:v>0.10732060520918238</c:v>
                </c:pt>
                <c:pt idx="526" formatCode="0.00%">
                  <c:v>0.10699682756126487</c:v>
                </c:pt>
                <c:pt idx="527" formatCode="0.00%">
                  <c:v>0.12717907999081415</c:v>
                </c:pt>
                <c:pt idx="528" formatCode="0.00%">
                  <c:v>9.3085182490748541E-2</c:v>
                </c:pt>
                <c:pt idx="529" formatCode="0.00%">
                  <c:v>0.10625092615363789</c:v>
                </c:pt>
                <c:pt idx="530" formatCode="0.00%">
                  <c:v>0.11301791996513669</c:v>
                </c:pt>
                <c:pt idx="531" formatCode="0.00%">
                  <c:v>0.12632775823495618</c:v>
                </c:pt>
                <c:pt idx="532" formatCode="0.00%">
                  <c:v>9.1198764651973213E-2</c:v>
                </c:pt>
                <c:pt idx="533" formatCode="0.00%">
                  <c:v>9.6195275519014439E-2</c:v>
                </c:pt>
                <c:pt idx="534" formatCode="0.00%">
                  <c:v>0.11227074577955665</c:v>
                </c:pt>
                <c:pt idx="535" formatCode="0.00%">
                  <c:v>0.11808630345377513</c:v>
                </c:pt>
                <c:pt idx="536" formatCode="0.00%">
                  <c:v>9.7387914179114979E-2</c:v>
                </c:pt>
                <c:pt idx="537" formatCode="0.00%">
                  <c:v>8.2165056461076469E-2</c:v>
                </c:pt>
                <c:pt idx="538" formatCode="0.00%">
                  <c:v>0.12154643027647841</c:v>
                </c:pt>
                <c:pt idx="539" formatCode="0.00%">
                  <c:v>0.11837041640659235</c:v>
                </c:pt>
                <c:pt idx="540" formatCode="0.00%">
                  <c:v>0.11911523346863205</c:v>
                </c:pt>
                <c:pt idx="541" formatCode="0.00%">
                  <c:v>0.11689875073825012</c:v>
                </c:pt>
                <c:pt idx="542" formatCode="0.00%">
                  <c:v>7.8616116975414235E-2</c:v>
                </c:pt>
                <c:pt idx="543" formatCode="0.00%">
                  <c:v>0.11417256916726967</c:v>
                </c:pt>
                <c:pt idx="544" formatCode="0.00%">
                  <c:v>9.2480747177621392E-2</c:v>
                </c:pt>
                <c:pt idx="545" formatCode="0.00%">
                  <c:v>0.11693764522236524</c:v>
                </c:pt>
                <c:pt idx="546" formatCode="0.00%">
                  <c:v>0.12362511836072722</c:v>
                </c:pt>
                <c:pt idx="547" formatCode="0.00%">
                  <c:v>0.10888038393501145</c:v>
                </c:pt>
                <c:pt idx="548" formatCode="0.00%">
                  <c:v>0.12185774962113402</c:v>
                </c:pt>
                <c:pt idx="549" formatCode="0.00%">
                  <c:v>0.12486651927542818</c:v>
                </c:pt>
                <c:pt idx="550" formatCode="0.00%">
                  <c:v>7.9538018544037109E-2</c:v>
                </c:pt>
                <c:pt idx="551" formatCode="0.00%">
                  <c:v>8.7204599873596564E-2</c:v>
                </c:pt>
                <c:pt idx="552" formatCode="0.00%">
                  <c:v>8.8595846050294344E-2</c:v>
                </c:pt>
                <c:pt idx="553" formatCode="0.00%">
                  <c:v>0.10940796821590792</c:v>
                </c:pt>
                <c:pt idx="554" formatCode="0.00%">
                  <c:v>0.10513640622148629</c:v>
                </c:pt>
                <c:pt idx="555" formatCode="0.00%">
                  <c:v>0.11440576305212301</c:v>
                </c:pt>
                <c:pt idx="556" formatCode="0.00%">
                  <c:v>8.2720091112127719E-2</c:v>
                </c:pt>
                <c:pt idx="557" formatCode="0.00%">
                  <c:v>0.11498891475832618</c:v>
                </c:pt>
                <c:pt idx="558" formatCode="0.00%">
                  <c:v>8.1708756736183122E-2</c:v>
                </c:pt>
                <c:pt idx="559" formatCode="0.00%">
                  <c:v>9.3628633351157814E-2</c:v>
                </c:pt>
                <c:pt idx="560" formatCode="0.00%">
                  <c:v>9.4000439964632351E-2</c:v>
                </c:pt>
                <c:pt idx="561" formatCode="0.00%">
                  <c:v>9.4410717082963946E-2</c:v>
                </c:pt>
                <c:pt idx="562" formatCode="0.00%">
                  <c:v>0.1149337098739593</c:v>
                </c:pt>
                <c:pt idx="563" formatCode="0.00%">
                  <c:v>0.11164620251564535</c:v>
                </c:pt>
                <c:pt idx="564" formatCode="0.00%">
                  <c:v>7.5860073106398723E-2</c:v>
                </c:pt>
                <c:pt idx="565" formatCode="0.00%">
                  <c:v>0.10326822121711474</c:v>
                </c:pt>
                <c:pt idx="566" formatCode="0.00%">
                  <c:v>9.6397013635335926E-2</c:v>
                </c:pt>
                <c:pt idx="567" formatCode="0.00%">
                  <c:v>8.6883029944435794E-2</c:v>
                </c:pt>
                <c:pt idx="568" formatCode="0.00%">
                  <c:v>9.8496706536367204E-2</c:v>
                </c:pt>
                <c:pt idx="569" formatCode="0.00%">
                  <c:v>0.12985418672708193</c:v>
                </c:pt>
                <c:pt idx="570" formatCode="0.00%">
                  <c:v>0.11519338808296523</c:v>
                </c:pt>
                <c:pt idx="571" formatCode="0.00%">
                  <c:v>0.10693205355603025</c:v>
                </c:pt>
                <c:pt idx="572" formatCode="0.00%">
                  <c:v>0.11598033304727923</c:v>
                </c:pt>
                <c:pt idx="573" formatCode="0.00%">
                  <c:v>0.10139693467524356</c:v>
                </c:pt>
                <c:pt idx="574" formatCode="0.00%">
                  <c:v>0.10573034976337164</c:v>
                </c:pt>
                <c:pt idx="575" formatCode="0.00%">
                  <c:v>0.10155134204819181</c:v>
                </c:pt>
                <c:pt idx="576" formatCode="0.00%">
                  <c:v>7.3085920365660376E-2</c:v>
                </c:pt>
                <c:pt idx="577" formatCode="0.00%">
                  <c:v>9.9780562723008004E-2</c:v>
                </c:pt>
                <c:pt idx="578" formatCode="0.00%">
                  <c:v>9.4122605344476945E-2</c:v>
                </c:pt>
                <c:pt idx="579" formatCode="0.00%">
                  <c:v>0.11094140370124948</c:v>
                </c:pt>
                <c:pt idx="580" formatCode="0.00%">
                  <c:v>9.854889679081591E-2</c:v>
                </c:pt>
                <c:pt idx="581" formatCode="0.00%">
                  <c:v>0.11025855952084801</c:v>
                </c:pt>
                <c:pt idx="582" formatCode="0.00%">
                  <c:v>0.12818092252047092</c:v>
                </c:pt>
                <c:pt idx="583" formatCode="0.00%">
                  <c:v>0.13199796528128965</c:v>
                </c:pt>
                <c:pt idx="584" formatCode="0.00%">
                  <c:v>0.10347751408551027</c:v>
                </c:pt>
                <c:pt idx="585" formatCode="0.00%">
                  <c:v>0.11382395886018074</c:v>
                </c:pt>
                <c:pt idx="586" formatCode="0.00%">
                  <c:v>9.6830740495932183E-2</c:v>
                </c:pt>
                <c:pt idx="587" formatCode="0.00%">
                  <c:v>0.10559836822367837</c:v>
                </c:pt>
                <c:pt idx="588" formatCode="0.00%">
                  <c:v>9.5931503861214074E-2</c:v>
                </c:pt>
                <c:pt idx="589" formatCode="0.00%">
                  <c:v>0.10901430144736352</c:v>
                </c:pt>
                <c:pt idx="590" formatCode="0.00%">
                  <c:v>0.10510694566321645</c:v>
                </c:pt>
                <c:pt idx="591" formatCode="0.00%">
                  <c:v>0.10778260926150712</c:v>
                </c:pt>
                <c:pt idx="592" formatCode="0.00%">
                  <c:v>0.10310411260472913</c:v>
                </c:pt>
                <c:pt idx="593" formatCode="0.00%">
                  <c:v>0.11910443951873775</c:v>
                </c:pt>
                <c:pt idx="594" formatCode="0.00%">
                  <c:v>0.13506584018343096</c:v>
                </c:pt>
                <c:pt idx="595" formatCode="0.00%">
                  <c:v>0.12548710163733751</c:v>
                </c:pt>
                <c:pt idx="596" formatCode="0.00%">
                  <c:v>0.11117728914418371</c:v>
                </c:pt>
                <c:pt idx="597" formatCode="0.00%">
                  <c:v>0.1064585111046099</c:v>
                </c:pt>
                <c:pt idx="598" formatCode="0.00%">
                  <c:v>7.6598346751444724E-2</c:v>
                </c:pt>
                <c:pt idx="599" formatCode="0.00%">
                  <c:v>0.11310179081526593</c:v>
                </c:pt>
                <c:pt idx="600" formatCode="0.00%">
                  <c:v>8.880033850181028E-2</c:v>
                </c:pt>
                <c:pt idx="601" formatCode="0.00%">
                  <c:v>9.2306424283653141E-2</c:v>
                </c:pt>
                <c:pt idx="602" formatCode="0.00%">
                  <c:v>0.11384196925765289</c:v>
                </c:pt>
                <c:pt idx="603" formatCode="0.00%">
                  <c:v>0.12043879910714064</c:v>
                </c:pt>
                <c:pt idx="604" formatCode="0.00%">
                  <c:v>8.7721413973970458E-2</c:v>
                </c:pt>
                <c:pt idx="605" formatCode="0.00%">
                  <c:v>9.6068534773642411E-2</c:v>
                </c:pt>
                <c:pt idx="606" formatCode="0.00%">
                  <c:v>0.10060172556193481</c:v>
                </c:pt>
                <c:pt idx="607" formatCode="0.00%">
                  <c:v>0.10419655563189877</c:v>
                </c:pt>
                <c:pt idx="608" formatCode="0.00%">
                  <c:v>0.1153126770743504</c:v>
                </c:pt>
                <c:pt idx="609" formatCode="0.00%">
                  <c:v>8.8307581575969629E-2</c:v>
                </c:pt>
                <c:pt idx="610" formatCode="0.00%">
                  <c:v>0.11888824072155384</c:v>
                </c:pt>
                <c:pt idx="611" formatCode="0.00%">
                  <c:v>7.6766219914390907E-2</c:v>
                </c:pt>
                <c:pt idx="612" formatCode="0.00%">
                  <c:v>0.11638773255814069</c:v>
                </c:pt>
                <c:pt idx="613" formatCode="0.00%">
                  <c:v>0.10371470145801831</c:v>
                </c:pt>
                <c:pt idx="614" formatCode="0.00%">
                  <c:v>0.11920082749898861</c:v>
                </c:pt>
                <c:pt idx="615" formatCode="0.00%">
                  <c:v>8.9865430327790846E-2</c:v>
                </c:pt>
                <c:pt idx="616" formatCode="0.00%">
                  <c:v>8.0985600174170322E-2</c:v>
                </c:pt>
                <c:pt idx="617" formatCode="0.00%">
                  <c:v>0.12972227504792866</c:v>
                </c:pt>
                <c:pt idx="618" formatCode="0.00%">
                  <c:v>8.2280659706840273E-2</c:v>
                </c:pt>
                <c:pt idx="619" formatCode="0.00%">
                  <c:v>0.10243511363681106</c:v>
                </c:pt>
                <c:pt idx="620" formatCode="0.00%">
                  <c:v>0.1012809538940988</c:v>
                </c:pt>
                <c:pt idx="621" formatCode="0.00%">
                  <c:v>0.13392061859302562</c:v>
                </c:pt>
                <c:pt idx="622" formatCode="0.00%">
                  <c:v>0.11896593673037704</c:v>
                </c:pt>
                <c:pt idx="623" formatCode="0.00%">
                  <c:v>0.10127290362678083</c:v>
                </c:pt>
                <c:pt idx="624" formatCode="0.00%">
                  <c:v>0.10645526019623217</c:v>
                </c:pt>
                <c:pt idx="625" formatCode="0.00%">
                  <c:v>0.11350751576298777</c:v>
                </c:pt>
                <c:pt idx="626" formatCode="0.00%">
                  <c:v>0.11220927850765386</c:v>
                </c:pt>
                <c:pt idx="627" formatCode="0.00%">
                  <c:v>0.10835760123053123</c:v>
                </c:pt>
                <c:pt idx="628" formatCode="0.00%">
                  <c:v>9.6545627993252933E-2</c:v>
                </c:pt>
                <c:pt idx="629" formatCode="0.00%">
                  <c:v>9.7588902588367624E-2</c:v>
                </c:pt>
                <c:pt idx="630" formatCode="0.00%">
                  <c:v>0.11085950159868602</c:v>
                </c:pt>
                <c:pt idx="631" formatCode="0.00%">
                  <c:v>0.10448536802334021</c:v>
                </c:pt>
                <c:pt idx="632" formatCode="0.00%">
                  <c:v>0.11244745744173033</c:v>
                </c:pt>
                <c:pt idx="633" formatCode="0.00%">
                  <c:v>0.10134396300664378</c:v>
                </c:pt>
                <c:pt idx="634" formatCode="0.00%">
                  <c:v>0.10121631236235948</c:v>
                </c:pt>
                <c:pt idx="635" formatCode="0.00%">
                  <c:v>0.10685686958399168</c:v>
                </c:pt>
                <c:pt idx="636" formatCode="0.00%">
                  <c:v>0.11740242404270423</c:v>
                </c:pt>
                <c:pt idx="637" formatCode="0.00%">
                  <c:v>0.10551505647790344</c:v>
                </c:pt>
                <c:pt idx="638" formatCode="0.00%">
                  <c:v>0.10445150025800946</c:v>
                </c:pt>
                <c:pt idx="639" formatCode="0.00%">
                  <c:v>9.975659382184654E-2</c:v>
                </c:pt>
                <c:pt idx="640" formatCode="0.00%">
                  <c:v>9.7987078794576576E-2</c:v>
                </c:pt>
                <c:pt idx="641" formatCode="0.00%">
                  <c:v>0.12452062621703126</c:v>
                </c:pt>
                <c:pt idx="642" formatCode="0.00%">
                  <c:v>0.1039796459963663</c:v>
                </c:pt>
                <c:pt idx="643" formatCode="0.00%">
                  <c:v>0.10319170019329113</c:v>
                </c:pt>
                <c:pt idx="644" formatCode="0.00%">
                  <c:v>0.1009053322818286</c:v>
                </c:pt>
                <c:pt idx="645" formatCode="0.00%">
                  <c:v>9.5346876168155917E-2</c:v>
                </c:pt>
                <c:pt idx="646" formatCode="0.00%">
                  <c:v>0.11196569271228969</c:v>
                </c:pt>
                <c:pt idx="647" formatCode="0.00%">
                  <c:v>8.0064130988481405E-2</c:v>
                </c:pt>
                <c:pt idx="648" formatCode="0.00%">
                  <c:v>8.6945301502167172E-2</c:v>
                </c:pt>
                <c:pt idx="649" formatCode="0.00%">
                  <c:v>8.446561612010059E-2</c:v>
                </c:pt>
                <c:pt idx="650" formatCode="0.00%">
                  <c:v>0.11000768650921575</c:v>
                </c:pt>
                <c:pt idx="651" formatCode="0.00%">
                  <c:v>8.1354334287542643E-2</c:v>
                </c:pt>
                <c:pt idx="652" formatCode="0.00%">
                  <c:v>0.102892211456417</c:v>
                </c:pt>
                <c:pt idx="653" formatCode="0.00%">
                  <c:v>0.10192326007751817</c:v>
                </c:pt>
                <c:pt idx="654" formatCode="0.00%">
                  <c:v>8.2020926889347825E-2</c:v>
                </c:pt>
                <c:pt idx="655" formatCode="0.00%">
                  <c:v>8.7718056602555786E-2</c:v>
                </c:pt>
                <c:pt idx="656" formatCode="0.00%">
                  <c:v>9.4082007791101263E-2</c:v>
                </c:pt>
                <c:pt idx="657" formatCode="0.00%">
                  <c:v>9.7241118737843454E-2</c:v>
                </c:pt>
                <c:pt idx="658" formatCode="0.00%">
                  <c:v>0.10530191110450265</c:v>
                </c:pt>
                <c:pt idx="659" formatCode="0.00%">
                  <c:v>0.1175743301146966</c:v>
                </c:pt>
                <c:pt idx="660" formatCode="0.00%">
                  <c:v>8.257515692665765E-2</c:v>
                </c:pt>
                <c:pt idx="661" formatCode="0.00%">
                  <c:v>0.11145857018708349</c:v>
                </c:pt>
                <c:pt idx="662" formatCode="0.00%">
                  <c:v>9.6324640118424412E-2</c:v>
                </c:pt>
                <c:pt idx="663" formatCode="0.00%">
                  <c:v>0.1071901441875546</c:v>
                </c:pt>
                <c:pt idx="664" formatCode="0.00%">
                  <c:v>0.12389362624679007</c:v>
                </c:pt>
                <c:pt idx="665" formatCode="0.00%">
                  <c:v>0.10814126532556967</c:v>
                </c:pt>
                <c:pt idx="666" formatCode="0.00%">
                  <c:v>0.11071901763198905</c:v>
                </c:pt>
                <c:pt idx="667" formatCode="0.00%">
                  <c:v>8.8632053914173073E-2</c:v>
                </c:pt>
                <c:pt idx="668" formatCode="0.00%">
                  <c:v>0.12105165326958114</c:v>
                </c:pt>
                <c:pt idx="669" formatCode="0.00%">
                  <c:v>0.11175535615247882</c:v>
                </c:pt>
                <c:pt idx="670" formatCode="0.00%">
                  <c:v>0.11817230197525262</c:v>
                </c:pt>
                <c:pt idx="671" formatCode="0.00%">
                  <c:v>0.10503981784995131</c:v>
                </c:pt>
                <c:pt idx="672" formatCode="0.00%">
                  <c:v>0.10779173102583628</c:v>
                </c:pt>
                <c:pt idx="673" formatCode="0.00%">
                  <c:v>9.6550248475730266E-2</c:v>
                </c:pt>
                <c:pt idx="674" formatCode="0.00%">
                  <c:v>9.9940831920212206E-2</c:v>
                </c:pt>
                <c:pt idx="675" formatCode="0.00%">
                  <c:v>0.10092521434540955</c:v>
                </c:pt>
                <c:pt idx="676" formatCode="0.00%">
                  <c:v>0.10921583985118841</c:v>
                </c:pt>
                <c:pt idx="677" formatCode="0.00%">
                  <c:v>0.12066620960540009</c:v>
                </c:pt>
                <c:pt idx="678" formatCode="0.00%">
                  <c:v>0.10014418931639293</c:v>
                </c:pt>
                <c:pt idx="679" formatCode="0.00%">
                  <c:v>0.11677873622718157</c:v>
                </c:pt>
                <c:pt idx="680" formatCode="0.00%">
                  <c:v>9.6908822646715076E-2</c:v>
                </c:pt>
                <c:pt idx="681" formatCode="0.00%">
                  <c:v>8.3108044425241917E-2</c:v>
                </c:pt>
                <c:pt idx="682" formatCode="0.00%">
                  <c:v>0.1013909560521164</c:v>
                </c:pt>
                <c:pt idx="683" formatCode="0.00%">
                  <c:v>0.11283361524333163</c:v>
                </c:pt>
                <c:pt idx="684" formatCode="0.00%">
                  <c:v>8.0446116817740304E-2</c:v>
                </c:pt>
                <c:pt idx="685" formatCode="0.00%">
                  <c:v>0.11612667942090966</c:v>
                </c:pt>
                <c:pt idx="686" formatCode="0.00%">
                  <c:v>8.8274648902236352E-2</c:v>
                </c:pt>
                <c:pt idx="687" formatCode="0.00%">
                  <c:v>8.8500090496218306E-2</c:v>
                </c:pt>
                <c:pt idx="688" formatCode="0.00%">
                  <c:v>0.11749555511825309</c:v>
                </c:pt>
                <c:pt idx="689" formatCode="0.00%">
                  <c:v>0.10696139092967299</c:v>
                </c:pt>
                <c:pt idx="690" formatCode="0.00%">
                  <c:v>0.11459558266074737</c:v>
                </c:pt>
                <c:pt idx="691" formatCode="0.00%">
                  <c:v>9.1745086109829926E-2</c:v>
                </c:pt>
                <c:pt idx="692" formatCode="0.00%">
                  <c:v>0.10075346283224285</c:v>
                </c:pt>
                <c:pt idx="693" formatCode="0.00%">
                  <c:v>8.2955658958301093E-2</c:v>
                </c:pt>
                <c:pt idx="694" formatCode="0.00%">
                  <c:v>8.7066529292261705E-2</c:v>
                </c:pt>
                <c:pt idx="695" formatCode="0.00%">
                  <c:v>0.12409031723185775</c:v>
                </c:pt>
                <c:pt idx="696" formatCode="0.00%">
                  <c:v>8.7614363525795769E-2</c:v>
                </c:pt>
                <c:pt idx="697" formatCode="0.00%">
                  <c:v>0.11737395256046197</c:v>
                </c:pt>
                <c:pt idx="698" formatCode="0.00%">
                  <c:v>9.6969508961556594E-2</c:v>
                </c:pt>
                <c:pt idx="699" formatCode="0.00%">
                  <c:v>0.11201360192321681</c:v>
                </c:pt>
                <c:pt idx="700" formatCode="0.00%">
                  <c:v>7.8138451140128837E-2</c:v>
                </c:pt>
                <c:pt idx="701" formatCode="0.00%">
                  <c:v>0.11765584610634021</c:v>
                </c:pt>
                <c:pt idx="702" formatCode="0.00%">
                  <c:v>0.10855621509224561</c:v>
                </c:pt>
                <c:pt idx="703" formatCode="0.00%">
                  <c:v>0.13735928326638838</c:v>
                </c:pt>
                <c:pt idx="704" formatCode="0.00%">
                  <c:v>9.6037786425067884E-2</c:v>
                </c:pt>
                <c:pt idx="705" formatCode="0.00%">
                  <c:v>0.10984143035108362</c:v>
                </c:pt>
                <c:pt idx="706" formatCode="0.00%">
                  <c:v>0.10890100053963304</c:v>
                </c:pt>
                <c:pt idx="707" formatCode="0.00%">
                  <c:v>0.11780692594913983</c:v>
                </c:pt>
                <c:pt idx="708" formatCode="0.00%">
                  <c:v>0.10507906654121443</c:v>
                </c:pt>
                <c:pt idx="709" formatCode="0.00%">
                  <c:v>7.6885812025270964E-2</c:v>
                </c:pt>
                <c:pt idx="710" formatCode="0.00%">
                  <c:v>8.5934698321119482E-2</c:v>
                </c:pt>
                <c:pt idx="711" formatCode="0.00%">
                  <c:v>0.11010498947994503</c:v>
                </c:pt>
                <c:pt idx="712" formatCode="0.00%">
                  <c:v>0.11373931921125484</c:v>
                </c:pt>
                <c:pt idx="713" formatCode="0.00%">
                  <c:v>0.10786320276249864</c:v>
                </c:pt>
                <c:pt idx="714" formatCode="0.00%">
                  <c:v>9.3633539417454406E-2</c:v>
                </c:pt>
                <c:pt idx="715" formatCode="0.00%">
                  <c:v>0.12679454423651385</c:v>
                </c:pt>
                <c:pt idx="716" formatCode="0.00%">
                  <c:v>9.925054675973663E-2</c:v>
                </c:pt>
                <c:pt idx="717" formatCode="0.00%">
                  <c:v>0.12989403516430495</c:v>
                </c:pt>
                <c:pt idx="718" formatCode="0.00%">
                  <c:v>0.12446754197359078</c:v>
                </c:pt>
                <c:pt idx="719" formatCode="0.00%">
                  <c:v>7.7488369595832107E-2</c:v>
                </c:pt>
                <c:pt idx="720" formatCode="0.00%">
                  <c:v>0.11943453414297728</c:v>
                </c:pt>
                <c:pt idx="721" formatCode="0.00%">
                  <c:v>9.451526845136772E-2</c:v>
                </c:pt>
                <c:pt idx="722" formatCode="0.00%">
                  <c:v>0.13470240687310758</c:v>
                </c:pt>
                <c:pt idx="723" formatCode="0.00%">
                  <c:v>9.8305251410113884E-2</c:v>
                </c:pt>
                <c:pt idx="724" formatCode="0.00%">
                  <c:v>9.3962403017911006E-2</c:v>
                </c:pt>
                <c:pt idx="725" formatCode="0.00%">
                  <c:v>8.8513552860172623E-2</c:v>
                </c:pt>
                <c:pt idx="726" formatCode="0.00%">
                  <c:v>8.5655332991878511E-2</c:v>
                </c:pt>
                <c:pt idx="727" formatCode="0.00%">
                  <c:v>0.1032148407912237</c:v>
                </c:pt>
                <c:pt idx="728" formatCode="0.00%">
                  <c:v>9.1988203492934281E-2</c:v>
                </c:pt>
                <c:pt idx="729" formatCode="0.00%">
                  <c:v>0.10926645503393199</c:v>
                </c:pt>
                <c:pt idx="730" formatCode="0.00%">
                  <c:v>8.688486039713364E-2</c:v>
                </c:pt>
                <c:pt idx="731" formatCode="0.00%">
                  <c:v>0.10075001015838189</c:v>
                </c:pt>
                <c:pt idx="732" formatCode="0.00%">
                  <c:v>9.5563347891978928E-2</c:v>
                </c:pt>
                <c:pt idx="733" formatCode="0.00%">
                  <c:v>0.11229137981945843</c:v>
                </c:pt>
                <c:pt idx="734" formatCode="0.00%">
                  <c:v>0.12093080493882134</c:v>
                </c:pt>
                <c:pt idx="735" formatCode="0.00%">
                  <c:v>8.1727781435588509E-2</c:v>
                </c:pt>
                <c:pt idx="736" formatCode="0.00%">
                  <c:v>0.11598962746417371</c:v>
                </c:pt>
                <c:pt idx="737" formatCode="0.00%">
                  <c:v>0.10966117470880617</c:v>
                </c:pt>
                <c:pt idx="738" formatCode="0.00%">
                  <c:v>8.8900659824613898E-2</c:v>
                </c:pt>
                <c:pt idx="739" formatCode="0.00%">
                  <c:v>0.15045534389128856</c:v>
                </c:pt>
                <c:pt idx="740" formatCode="0.00%">
                  <c:v>0.1247460352566814</c:v>
                </c:pt>
                <c:pt idx="741" formatCode="0.00%">
                  <c:v>0.10767225869097756</c:v>
                </c:pt>
                <c:pt idx="742" formatCode="0.00%">
                  <c:v>0.13609824802215234</c:v>
                </c:pt>
                <c:pt idx="743" formatCode="0.00%">
                  <c:v>9.4850881367133599E-2</c:v>
                </c:pt>
                <c:pt idx="744" formatCode="0.00%">
                  <c:v>8.6667530771706205E-2</c:v>
                </c:pt>
                <c:pt idx="745" formatCode="0.00%">
                  <c:v>0.10785615929742846</c:v>
                </c:pt>
                <c:pt idx="746" formatCode="0.00%">
                  <c:v>9.7415368412132552E-2</c:v>
                </c:pt>
                <c:pt idx="747" formatCode="0.00%">
                  <c:v>0.11956955665386632</c:v>
                </c:pt>
                <c:pt idx="748" formatCode="0.00%">
                  <c:v>0.11235289572879753</c:v>
                </c:pt>
                <c:pt idx="749" formatCode="0.00%">
                  <c:v>0.12085771934731271</c:v>
                </c:pt>
                <c:pt idx="750" formatCode="0.00%">
                  <c:v>0.13566186040006042</c:v>
                </c:pt>
                <c:pt idx="751" formatCode="0.00%">
                  <c:v>0.11155505151213473</c:v>
                </c:pt>
                <c:pt idx="752" formatCode="0.00%">
                  <c:v>9.4820002661740441E-2</c:v>
                </c:pt>
                <c:pt idx="753" formatCode="0.00%">
                  <c:v>0.11638900642587546</c:v>
                </c:pt>
                <c:pt idx="754" formatCode="0.00%">
                  <c:v>0.11706227921866696</c:v>
                </c:pt>
                <c:pt idx="755" formatCode="0.00%">
                  <c:v>0.10063939360658072</c:v>
                </c:pt>
                <c:pt idx="756" formatCode="0.00%">
                  <c:v>0.11687365895142587</c:v>
                </c:pt>
                <c:pt idx="757" formatCode="0.00%">
                  <c:v>0.10060489140338655</c:v>
                </c:pt>
                <c:pt idx="758" formatCode="0.00%">
                  <c:v>9.7278758983101232E-2</c:v>
                </c:pt>
                <c:pt idx="759" formatCode="0.00%">
                  <c:v>9.0082044925047455E-2</c:v>
                </c:pt>
                <c:pt idx="760" formatCode="0.00%">
                  <c:v>9.3035560387672189E-2</c:v>
                </c:pt>
                <c:pt idx="761" formatCode="0.00%">
                  <c:v>8.2097132053748467E-2</c:v>
                </c:pt>
                <c:pt idx="762" formatCode="0.00%">
                  <c:v>0.11101283429869219</c:v>
                </c:pt>
                <c:pt idx="763" formatCode="0.00%">
                  <c:v>9.0113516785540707E-2</c:v>
                </c:pt>
                <c:pt idx="764" formatCode="0.00%">
                  <c:v>8.7880594609738599E-2</c:v>
                </c:pt>
                <c:pt idx="765" formatCode="0.00%">
                  <c:v>8.4557144066279802E-2</c:v>
                </c:pt>
                <c:pt idx="766" formatCode="0.00%">
                  <c:v>0.12931080991158067</c:v>
                </c:pt>
                <c:pt idx="767" formatCode="0.00%">
                  <c:v>0.1145567843824573</c:v>
                </c:pt>
                <c:pt idx="768" formatCode="0.00%">
                  <c:v>0.12283718943609681</c:v>
                </c:pt>
                <c:pt idx="769" formatCode="0.00%">
                  <c:v>8.9535375323318483E-2</c:v>
                </c:pt>
                <c:pt idx="770" formatCode="0.00%">
                  <c:v>9.6920023351057122E-2</c:v>
                </c:pt>
                <c:pt idx="771" formatCode="0.00%">
                  <c:v>0.10588251832813353</c:v>
                </c:pt>
                <c:pt idx="772" formatCode="0.00%">
                  <c:v>0.10878510127709286</c:v>
                </c:pt>
                <c:pt idx="773" formatCode="0.00%">
                  <c:v>0.10952883225992179</c:v>
                </c:pt>
                <c:pt idx="774" formatCode="0.00%">
                  <c:v>0.11433652900703424</c:v>
                </c:pt>
                <c:pt idx="775" formatCode="0.00%">
                  <c:v>0.10366278471288759</c:v>
                </c:pt>
                <c:pt idx="776" formatCode="0.00%">
                  <c:v>0.11054948754117017</c:v>
                </c:pt>
                <c:pt idx="777" formatCode="0.00%">
                  <c:v>0.11747783051623786</c:v>
                </c:pt>
                <c:pt idx="778" formatCode="0.00%">
                  <c:v>0.11374246428068799</c:v>
                </c:pt>
                <c:pt idx="779" formatCode="0.00%">
                  <c:v>9.1924607431105643E-2</c:v>
                </c:pt>
                <c:pt idx="780" formatCode="0.00%">
                  <c:v>0.11339348658241619</c:v>
                </c:pt>
                <c:pt idx="781" formatCode="0.00%">
                  <c:v>9.1965443806455355E-2</c:v>
                </c:pt>
                <c:pt idx="782" formatCode="0.00%">
                  <c:v>0.10550680378560738</c:v>
                </c:pt>
                <c:pt idx="783" formatCode="0.00%">
                  <c:v>0.12000125002976306</c:v>
                </c:pt>
                <c:pt idx="784" formatCode="0.00%">
                  <c:v>9.1800436066570984E-2</c:v>
                </c:pt>
                <c:pt idx="785" formatCode="0.00%">
                  <c:v>0.10238932089794342</c:v>
                </c:pt>
                <c:pt idx="786" formatCode="0.00%">
                  <c:v>8.5831654158544005E-2</c:v>
                </c:pt>
                <c:pt idx="787" formatCode="0.00%">
                  <c:v>0.10679767709129884</c:v>
                </c:pt>
                <c:pt idx="788" formatCode="0.00%">
                  <c:v>8.5448983508958826E-2</c:v>
                </c:pt>
                <c:pt idx="789" formatCode="0.00%">
                  <c:v>9.1249897303324334E-2</c:v>
                </c:pt>
                <c:pt idx="790" formatCode="0.00%">
                  <c:v>9.506581663176919E-2</c:v>
                </c:pt>
                <c:pt idx="791" formatCode="0.00%">
                  <c:v>9.4179004376361453E-2</c:v>
                </c:pt>
                <c:pt idx="792" formatCode="0.00%">
                  <c:v>0.10492796798019788</c:v>
                </c:pt>
                <c:pt idx="793" formatCode="0.00%">
                  <c:v>0.13096730825327813</c:v>
                </c:pt>
                <c:pt idx="794" formatCode="0.00%">
                  <c:v>0.12251078490805284</c:v>
                </c:pt>
                <c:pt idx="795" formatCode="0.00%">
                  <c:v>0.1012961093243951</c:v>
                </c:pt>
                <c:pt idx="796" formatCode="0.00%">
                  <c:v>0.1067642175205997</c:v>
                </c:pt>
                <c:pt idx="797" formatCode="0.00%">
                  <c:v>9.4066918437297739E-2</c:v>
                </c:pt>
                <c:pt idx="798" formatCode="0.00%">
                  <c:v>0.12296207209079499</c:v>
                </c:pt>
                <c:pt idx="799" formatCode="0.00%">
                  <c:v>0.10204745538254398</c:v>
                </c:pt>
                <c:pt idx="800" formatCode="0.00%">
                  <c:v>8.6809159504234457E-2</c:v>
                </c:pt>
                <c:pt idx="801" formatCode="0.00%">
                  <c:v>0.10835600798446281</c:v>
                </c:pt>
                <c:pt idx="802" formatCode="0.00%">
                  <c:v>9.9697184061348781E-2</c:v>
                </c:pt>
                <c:pt idx="803" formatCode="0.00%">
                  <c:v>0.1200412154860227</c:v>
                </c:pt>
                <c:pt idx="804" formatCode="0.00%">
                  <c:v>8.7028753682718007E-2</c:v>
                </c:pt>
                <c:pt idx="805" formatCode="0.00%">
                  <c:v>9.7874695273418119E-2</c:v>
                </c:pt>
                <c:pt idx="806" formatCode="0.00%">
                  <c:v>0.10994551222019244</c:v>
                </c:pt>
                <c:pt idx="807" formatCode="0.00%">
                  <c:v>7.4767276161991275E-2</c:v>
                </c:pt>
                <c:pt idx="808" formatCode="0.00%">
                  <c:v>9.2100102911412324E-2</c:v>
                </c:pt>
                <c:pt idx="809" formatCode="0.00%">
                  <c:v>0.10300332991391281</c:v>
                </c:pt>
                <c:pt idx="810" formatCode="0.00%">
                  <c:v>9.2106118799398048E-2</c:v>
                </c:pt>
                <c:pt idx="811" formatCode="0.00%">
                  <c:v>0.11488823407295409</c:v>
                </c:pt>
                <c:pt idx="812" formatCode="0.00%">
                  <c:v>0.10736065428030125</c:v>
                </c:pt>
                <c:pt idx="813" formatCode="0.00%">
                  <c:v>9.4844361957953371E-2</c:v>
                </c:pt>
                <c:pt idx="814" formatCode="0.00%">
                  <c:v>0.11198437541540911</c:v>
                </c:pt>
                <c:pt idx="815" formatCode="0.00%">
                  <c:v>0.11269617264786837</c:v>
                </c:pt>
                <c:pt idx="816" formatCode="0.00%">
                  <c:v>0.11215769082280133</c:v>
                </c:pt>
                <c:pt idx="817" formatCode="0.00%">
                  <c:v>9.589852090877192E-2</c:v>
                </c:pt>
                <c:pt idx="818" formatCode="0.00%">
                  <c:v>9.9645821377953983E-2</c:v>
                </c:pt>
                <c:pt idx="819" formatCode="0.00%">
                  <c:v>0.10523498042928923</c:v>
                </c:pt>
                <c:pt idx="820" formatCode="0.00%">
                  <c:v>9.6188424309396239E-2</c:v>
                </c:pt>
                <c:pt idx="821" formatCode="0.00%">
                  <c:v>0.1225088198667012</c:v>
                </c:pt>
                <c:pt idx="822" formatCode="0.00%">
                  <c:v>0.11618916538401582</c:v>
                </c:pt>
                <c:pt idx="823" formatCode="0.00%">
                  <c:v>0.1187749241332763</c:v>
                </c:pt>
                <c:pt idx="824" formatCode="0.00%">
                  <c:v>8.425587026021028E-2</c:v>
                </c:pt>
                <c:pt idx="825" formatCode="0.00%">
                  <c:v>9.2906627266646405E-2</c:v>
                </c:pt>
                <c:pt idx="826" formatCode="0.00%">
                  <c:v>9.8869404745639711E-2</c:v>
                </c:pt>
                <c:pt idx="827" formatCode="0.00%">
                  <c:v>0.11723704067901949</c:v>
                </c:pt>
                <c:pt idx="828" formatCode="0.00%">
                  <c:v>8.2976610256562958E-2</c:v>
                </c:pt>
                <c:pt idx="829" formatCode="0.00%">
                  <c:v>0.10117208463860006</c:v>
                </c:pt>
                <c:pt idx="830" formatCode="0.00%">
                  <c:v>0.10182024619089466</c:v>
                </c:pt>
                <c:pt idx="831" formatCode="0.00%">
                  <c:v>0.11935319583135681</c:v>
                </c:pt>
                <c:pt idx="832" formatCode="0.00%">
                  <c:v>0.10482259684710432</c:v>
                </c:pt>
                <c:pt idx="833" formatCode="0.00%">
                  <c:v>0.10692293130552356</c:v>
                </c:pt>
                <c:pt idx="834" formatCode="0.00%">
                  <c:v>0.10580804123819369</c:v>
                </c:pt>
                <c:pt idx="835" formatCode="0.00%">
                  <c:v>9.3816349012113415E-2</c:v>
                </c:pt>
                <c:pt idx="836" formatCode="0.00%">
                  <c:v>0.11620950215709233</c:v>
                </c:pt>
                <c:pt idx="837" formatCode="0.00%">
                  <c:v>9.6203631571657289E-2</c:v>
                </c:pt>
                <c:pt idx="838" formatCode="0.00%">
                  <c:v>0.11052217240359515</c:v>
                </c:pt>
                <c:pt idx="839" formatCode="0.00%">
                  <c:v>0.12293837409091202</c:v>
                </c:pt>
                <c:pt idx="840" formatCode="0.00%">
                  <c:v>9.5269782353424912E-2</c:v>
                </c:pt>
                <c:pt idx="841" formatCode="0.00%">
                  <c:v>0.10436417234485275</c:v>
                </c:pt>
                <c:pt idx="842" formatCode="0.00%">
                  <c:v>9.838937329712108E-2</c:v>
                </c:pt>
                <c:pt idx="843" formatCode="0.00%">
                  <c:v>0.1094597580194034</c:v>
                </c:pt>
                <c:pt idx="844" formatCode="0.00%">
                  <c:v>8.865614149160872E-2</c:v>
                </c:pt>
                <c:pt idx="845" formatCode="0.00%">
                  <c:v>0.10765641605312623</c:v>
                </c:pt>
                <c:pt idx="846" formatCode="0.00%">
                  <c:v>8.9779814496472404E-2</c:v>
                </c:pt>
                <c:pt idx="847" formatCode="0.00%">
                  <c:v>0.11351153142404199</c:v>
                </c:pt>
                <c:pt idx="848" formatCode="0.00%">
                  <c:v>8.9525247599476485E-2</c:v>
                </c:pt>
                <c:pt idx="849" formatCode="0.00%">
                  <c:v>0.11772518404261711</c:v>
                </c:pt>
                <c:pt idx="850" formatCode="0.00%">
                  <c:v>0.10087009183380027</c:v>
                </c:pt>
                <c:pt idx="851" formatCode="0.00%">
                  <c:v>0.10045398464087421</c:v>
                </c:pt>
                <c:pt idx="852" formatCode="0.00%">
                  <c:v>0.12118464331061618</c:v>
                </c:pt>
                <c:pt idx="853" formatCode="0.00%">
                  <c:v>0.11045317826926591</c:v>
                </c:pt>
                <c:pt idx="854" formatCode="0.00%">
                  <c:v>9.9175852958368241E-2</c:v>
                </c:pt>
                <c:pt idx="855" formatCode="0.00%">
                  <c:v>0.10102150191562401</c:v>
                </c:pt>
                <c:pt idx="856" formatCode="0.00%">
                  <c:v>0.11939522307633652</c:v>
                </c:pt>
                <c:pt idx="857" formatCode="0.00%">
                  <c:v>9.9176976756882224E-2</c:v>
                </c:pt>
                <c:pt idx="858" formatCode="0.00%">
                  <c:v>0.1145486337506216</c:v>
                </c:pt>
                <c:pt idx="859" formatCode="0.00%">
                  <c:v>0.10172725244742863</c:v>
                </c:pt>
                <c:pt idx="860" formatCode="0.00%">
                  <c:v>9.0774692940112256E-2</c:v>
                </c:pt>
                <c:pt idx="861" formatCode="0.00%">
                  <c:v>8.3040851784177458E-2</c:v>
                </c:pt>
                <c:pt idx="862" formatCode="0.00%">
                  <c:v>0.10352170317853698</c:v>
                </c:pt>
                <c:pt idx="863" formatCode="0.00%">
                  <c:v>9.411220563459588E-2</c:v>
                </c:pt>
                <c:pt idx="864" formatCode="0.00%">
                  <c:v>0.10567743822047201</c:v>
                </c:pt>
                <c:pt idx="865" formatCode="0.00%">
                  <c:v>9.9398358353073701E-2</c:v>
                </c:pt>
                <c:pt idx="866" formatCode="0.00%">
                  <c:v>9.5638497719822788E-2</c:v>
                </c:pt>
                <c:pt idx="867" formatCode="0.00%">
                  <c:v>8.0163226294291165E-2</c:v>
                </c:pt>
                <c:pt idx="868" formatCode="0.00%">
                  <c:v>0.12108489270429681</c:v>
                </c:pt>
                <c:pt idx="869" formatCode="0.00%">
                  <c:v>8.522910319124187E-2</c:v>
                </c:pt>
                <c:pt idx="870" formatCode="0.00%">
                  <c:v>8.9080697122075406E-2</c:v>
                </c:pt>
                <c:pt idx="871" formatCode="0.00%">
                  <c:v>9.7971646659741216E-2</c:v>
                </c:pt>
                <c:pt idx="872" formatCode="0.00%">
                  <c:v>0.11235686531078189</c:v>
                </c:pt>
                <c:pt idx="873" formatCode="0.00%">
                  <c:v>8.3046364515851706E-2</c:v>
                </c:pt>
                <c:pt idx="874" formatCode="0.00%">
                  <c:v>0.1096433992815837</c:v>
                </c:pt>
                <c:pt idx="875" formatCode="0.00%">
                  <c:v>0.11203515202747245</c:v>
                </c:pt>
                <c:pt idx="876" formatCode="0.00%">
                  <c:v>0.10963468169856164</c:v>
                </c:pt>
                <c:pt idx="877" formatCode="0.00%">
                  <c:v>8.6283862383664658E-2</c:v>
                </c:pt>
                <c:pt idx="878" formatCode="0.00%">
                  <c:v>0.11651216525787821</c:v>
                </c:pt>
                <c:pt idx="879" formatCode="0.00%">
                  <c:v>0.10126219613698541</c:v>
                </c:pt>
                <c:pt idx="880" formatCode="0.00%">
                  <c:v>0.10769839760602586</c:v>
                </c:pt>
                <c:pt idx="881" formatCode="0.00%">
                  <c:v>0.1083712112483062</c:v>
                </c:pt>
                <c:pt idx="882" formatCode="0.00%">
                  <c:v>0.11823714702111923</c:v>
                </c:pt>
                <c:pt idx="883" formatCode="0.00%">
                  <c:v>0.10571446318377772</c:v>
                </c:pt>
                <c:pt idx="884" formatCode="0.00%">
                  <c:v>0.10167079935207372</c:v>
                </c:pt>
                <c:pt idx="885" formatCode="0.00%">
                  <c:v>0.11448386757357976</c:v>
                </c:pt>
                <c:pt idx="886" formatCode="0.00%">
                  <c:v>0.10398829174499594</c:v>
                </c:pt>
                <c:pt idx="887" formatCode="0.00%">
                  <c:v>0.12032037966157244</c:v>
                </c:pt>
                <c:pt idx="888" formatCode="0.00%">
                  <c:v>0.1051792506056359</c:v>
                </c:pt>
                <c:pt idx="889" formatCode="0.00%">
                  <c:v>0.1093864047494546</c:v>
                </c:pt>
                <c:pt idx="890" formatCode="0.00%">
                  <c:v>0.12758976632311614</c:v>
                </c:pt>
                <c:pt idx="891" formatCode="0.00%">
                  <c:v>0.10474570088982768</c:v>
                </c:pt>
                <c:pt idx="892" formatCode="0.00%">
                  <c:v>0.10854404981898166</c:v>
                </c:pt>
                <c:pt idx="893" formatCode="0.00%">
                  <c:v>0.11643336038120325</c:v>
                </c:pt>
                <c:pt idx="894" formatCode="0.00%">
                  <c:v>0.11390044357390583</c:v>
                </c:pt>
                <c:pt idx="895" formatCode="0.00%">
                  <c:v>8.7431067049636768E-2</c:v>
                </c:pt>
                <c:pt idx="896" formatCode="0.00%">
                  <c:v>0.11201462566265206</c:v>
                </c:pt>
                <c:pt idx="897" formatCode="0.00%">
                  <c:v>0.10932485913130253</c:v>
                </c:pt>
                <c:pt idx="898" formatCode="0.00%">
                  <c:v>8.840602320361847E-2</c:v>
                </c:pt>
                <c:pt idx="899" formatCode="0.00%">
                  <c:v>0.10887555461027035</c:v>
                </c:pt>
                <c:pt idx="900" formatCode="0.00%">
                  <c:v>0.11072318095106379</c:v>
                </c:pt>
                <c:pt idx="901" formatCode="0.00%">
                  <c:v>0.11113594236137414</c:v>
                </c:pt>
                <c:pt idx="902" formatCode="0.00%">
                  <c:v>0.12647360719326256</c:v>
                </c:pt>
                <c:pt idx="903" formatCode="0.00%">
                  <c:v>7.5179435919761117E-2</c:v>
                </c:pt>
                <c:pt idx="904" formatCode="0.00%">
                  <c:v>0.11357234171694086</c:v>
                </c:pt>
                <c:pt idx="905" formatCode="0.00%">
                  <c:v>0.11096706536135578</c:v>
                </c:pt>
                <c:pt idx="906" formatCode="0.00%">
                  <c:v>8.2491763637452017E-2</c:v>
                </c:pt>
                <c:pt idx="907" formatCode="0.00%">
                  <c:v>9.6566759124872045E-2</c:v>
                </c:pt>
                <c:pt idx="908" formatCode="0.00%">
                  <c:v>0.10215009897159259</c:v>
                </c:pt>
                <c:pt idx="909" formatCode="0.00%">
                  <c:v>0.13485365652460957</c:v>
                </c:pt>
                <c:pt idx="910" formatCode="0.00%">
                  <c:v>0.11489664098694757</c:v>
                </c:pt>
                <c:pt idx="911" formatCode="0.00%">
                  <c:v>0.11978331546401481</c:v>
                </c:pt>
                <c:pt idx="912" formatCode="0.00%">
                  <c:v>0.11052656219394795</c:v>
                </c:pt>
                <c:pt idx="913" formatCode="0.00%">
                  <c:v>9.2150907309476726E-2</c:v>
                </c:pt>
                <c:pt idx="914" formatCode="0.00%">
                  <c:v>0.11504488744144489</c:v>
                </c:pt>
                <c:pt idx="915" formatCode="0.00%">
                  <c:v>0.12846189142926068</c:v>
                </c:pt>
                <c:pt idx="916" formatCode="0.00%">
                  <c:v>0.10909586670089773</c:v>
                </c:pt>
                <c:pt idx="917" formatCode="0.00%">
                  <c:v>0.10653192591154131</c:v>
                </c:pt>
                <c:pt idx="918" formatCode="0.00%">
                  <c:v>0.100047698273522</c:v>
                </c:pt>
                <c:pt idx="919" formatCode="0.00%">
                  <c:v>9.9744802919441072E-2</c:v>
                </c:pt>
                <c:pt idx="920" formatCode="0.00%">
                  <c:v>0.10704483916471234</c:v>
                </c:pt>
                <c:pt idx="921" formatCode="0.00%">
                  <c:v>9.2941531743787886E-2</c:v>
                </c:pt>
                <c:pt idx="922" formatCode="0.00%">
                  <c:v>0.10377186176782047</c:v>
                </c:pt>
                <c:pt idx="923" formatCode="0.00%">
                  <c:v>0.1043308198083203</c:v>
                </c:pt>
                <c:pt idx="924" formatCode="0.00%">
                  <c:v>0.10390858664857526</c:v>
                </c:pt>
                <c:pt idx="925" formatCode="0.00%">
                  <c:v>0.12570830266477617</c:v>
                </c:pt>
                <c:pt idx="926" formatCode="0.00%">
                  <c:v>0.10961497067958706</c:v>
                </c:pt>
                <c:pt idx="927" formatCode="0.00%">
                  <c:v>0.110958561646343</c:v>
                </c:pt>
                <c:pt idx="928" formatCode="0.00%">
                  <c:v>0.10701095836163428</c:v>
                </c:pt>
                <c:pt idx="929" formatCode="0.00%">
                  <c:v>0.11915043654091964</c:v>
                </c:pt>
                <c:pt idx="930" formatCode="0.00%">
                  <c:v>0.12059685958782682</c:v>
                </c:pt>
                <c:pt idx="931" formatCode="0.00%">
                  <c:v>0.11106134092663716</c:v>
                </c:pt>
                <c:pt idx="932" formatCode="0.00%">
                  <c:v>8.612673854282385E-2</c:v>
                </c:pt>
                <c:pt idx="933" formatCode="0.00%">
                  <c:v>0.10193947337852768</c:v>
                </c:pt>
                <c:pt idx="934" formatCode="0.00%">
                  <c:v>0.13418730142120261</c:v>
                </c:pt>
                <c:pt idx="935" formatCode="0.00%">
                  <c:v>0.11096576743511676</c:v>
                </c:pt>
                <c:pt idx="936" formatCode="0.00%">
                  <c:v>0.1115163283256476</c:v>
                </c:pt>
                <c:pt idx="937" formatCode="0.00%">
                  <c:v>9.4056114435386626E-2</c:v>
                </c:pt>
                <c:pt idx="938" formatCode="0.00%">
                  <c:v>0.11242786758300111</c:v>
                </c:pt>
                <c:pt idx="939" formatCode="0.00%">
                  <c:v>8.2539736430224248E-2</c:v>
                </c:pt>
                <c:pt idx="940" formatCode="0.00%">
                  <c:v>9.0692551603863761E-2</c:v>
                </c:pt>
                <c:pt idx="941" formatCode="0.00%">
                  <c:v>8.3149188486040471E-2</c:v>
                </c:pt>
                <c:pt idx="942" formatCode="0.00%">
                  <c:v>0.11139897153774125</c:v>
                </c:pt>
                <c:pt idx="943" formatCode="0.00%">
                  <c:v>0.12576384634923804</c:v>
                </c:pt>
                <c:pt idx="944" formatCode="0.00%">
                  <c:v>9.9670975258742703E-2</c:v>
                </c:pt>
                <c:pt idx="945" formatCode="0.00%">
                  <c:v>8.4163378031543418E-2</c:v>
                </c:pt>
                <c:pt idx="946" formatCode="0.00%">
                  <c:v>0.1272297971260683</c:v>
                </c:pt>
                <c:pt idx="947" formatCode="0.00%">
                  <c:v>0.10524812004811429</c:v>
                </c:pt>
                <c:pt idx="948" formatCode="0.00%">
                  <c:v>0.11323695301973749</c:v>
                </c:pt>
                <c:pt idx="949" formatCode="0.00%">
                  <c:v>0.12379472459298149</c:v>
                </c:pt>
                <c:pt idx="950" formatCode="0.00%">
                  <c:v>8.8730538988533392E-2</c:v>
                </c:pt>
                <c:pt idx="951" formatCode="0.00%">
                  <c:v>8.5585302728725249E-2</c:v>
                </c:pt>
                <c:pt idx="952" formatCode="0.00%">
                  <c:v>0.11226506489546896</c:v>
                </c:pt>
                <c:pt idx="953" formatCode="0.00%">
                  <c:v>0.12220514924746673</c:v>
                </c:pt>
                <c:pt idx="954" formatCode="0.00%">
                  <c:v>0.11936553401959582</c:v>
                </c:pt>
                <c:pt idx="955" formatCode="0.00%">
                  <c:v>0.10542236811903516</c:v>
                </c:pt>
                <c:pt idx="956" formatCode="0.00%">
                  <c:v>0.1338994918651171</c:v>
                </c:pt>
                <c:pt idx="957" formatCode="0.00%">
                  <c:v>0.10491064080144433</c:v>
                </c:pt>
                <c:pt idx="958" formatCode="0.00%">
                  <c:v>8.8655544484410778E-2</c:v>
                </c:pt>
                <c:pt idx="959" formatCode="0.00%">
                  <c:v>0.10987083685747887</c:v>
                </c:pt>
                <c:pt idx="960" formatCode="0.00%">
                  <c:v>0.11544034238175174</c:v>
                </c:pt>
                <c:pt idx="961" formatCode="0.00%">
                  <c:v>0.11467559287348827</c:v>
                </c:pt>
                <c:pt idx="962" formatCode="0.00%">
                  <c:v>9.1045867752318238E-2</c:v>
                </c:pt>
                <c:pt idx="963" formatCode="0.00%">
                  <c:v>0.10390735842802883</c:v>
                </c:pt>
                <c:pt idx="964" formatCode="0.00%">
                  <c:v>0.12726989111943735</c:v>
                </c:pt>
                <c:pt idx="965" formatCode="0.00%">
                  <c:v>9.3999609125894029E-2</c:v>
                </c:pt>
                <c:pt idx="966" formatCode="0.00%">
                  <c:v>9.7131470883728435E-2</c:v>
                </c:pt>
                <c:pt idx="967" formatCode="0.00%">
                  <c:v>0.11507680709356073</c:v>
                </c:pt>
                <c:pt idx="968" formatCode="0.00%">
                  <c:v>8.9981042205833028E-2</c:v>
                </c:pt>
                <c:pt idx="969" formatCode="0.00%">
                  <c:v>0.13135224886091551</c:v>
                </c:pt>
                <c:pt idx="970" formatCode="0.00%">
                  <c:v>0.13288960210392572</c:v>
                </c:pt>
                <c:pt idx="971" formatCode="0.00%">
                  <c:v>8.8311574312806146E-2</c:v>
                </c:pt>
                <c:pt idx="972" formatCode="0.00%">
                  <c:v>0.10744380553579508</c:v>
                </c:pt>
                <c:pt idx="973" formatCode="0.00%">
                  <c:v>0.10538112437601825</c:v>
                </c:pt>
                <c:pt idx="974" formatCode="0.00%">
                  <c:v>9.6492146341878512E-2</c:v>
                </c:pt>
                <c:pt idx="975" formatCode="0.00%">
                  <c:v>0.11264449980347192</c:v>
                </c:pt>
                <c:pt idx="976" formatCode="0.00%">
                  <c:v>0.12239627144333633</c:v>
                </c:pt>
                <c:pt idx="977" formatCode="0.00%">
                  <c:v>8.864148878140897E-2</c:v>
                </c:pt>
                <c:pt idx="978" formatCode="0.00%">
                  <c:v>9.3495165576362366E-2</c:v>
                </c:pt>
                <c:pt idx="979" formatCode="0.00%">
                  <c:v>9.3000053903444735E-2</c:v>
                </c:pt>
                <c:pt idx="980" formatCode="0.00%">
                  <c:v>9.9179868264127752E-2</c:v>
                </c:pt>
                <c:pt idx="981" formatCode="0.00%">
                  <c:v>9.9525852409547533E-2</c:v>
                </c:pt>
                <c:pt idx="982" formatCode="0.00%">
                  <c:v>0.12437025864120854</c:v>
                </c:pt>
                <c:pt idx="983" formatCode="0.00%">
                  <c:v>0.10952441507056761</c:v>
                </c:pt>
                <c:pt idx="984" formatCode="0.00%">
                  <c:v>0.13015923244651373</c:v>
                </c:pt>
                <c:pt idx="985" formatCode="0.00%">
                  <c:v>0.10138317896049343</c:v>
                </c:pt>
                <c:pt idx="986" formatCode="0.00%">
                  <c:v>0.10871824121404469</c:v>
                </c:pt>
                <c:pt idx="987" formatCode="0.00%">
                  <c:v>0.10453154637736983</c:v>
                </c:pt>
                <c:pt idx="988" formatCode="0.00%">
                  <c:v>8.5180302776808978E-2</c:v>
                </c:pt>
                <c:pt idx="989" formatCode="0.00%">
                  <c:v>0.1129796846814365</c:v>
                </c:pt>
                <c:pt idx="990" formatCode="0.00%">
                  <c:v>0.12342577176808875</c:v>
                </c:pt>
                <c:pt idx="991" formatCode="0.00%">
                  <c:v>9.7746620882371793E-2</c:v>
                </c:pt>
                <c:pt idx="992" formatCode="0.00%">
                  <c:v>0.10296751649589181</c:v>
                </c:pt>
                <c:pt idx="993" formatCode="0.00%">
                  <c:v>9.0833631248780966E-2</c:v>
                </c:pt>
                <c:pt idx="994" formatCode="0.00%">
                  <c:v>9.6721267907578581E-2</c:v>
                </c:pt>
                <c:pt idx="995" formatCode="0.00%">
                  <c:v>7.5767097125474386E-2</c:v>
                </c:pt>
                <c:pt idx="996" formatCode="0.00%">
                  <c:v>0.11206036332215889</c:v>
                </c:pt>
                <c:pt idx="997" formatCode="0.00%">
                  <c:v>8.6393461869193847E-2</c:v>
                </c:pt>
                <c:pt idx="998" formatCode="0.00%">
                  <c:v>9.4711633530486325E-2</c:v>
                </c:pt>
                <c:pt idx="999" formatCode="0.00%">
                  <c:v>9.6846295009707498E-2</c:v>
                </c:pt>
                <c:pt idx="1000" formatCode="0.00%">
                  <c:v>0.1263832903314201</c:v>
                </c:pt>
                <c:pt idx="1001" formatCode="0.00%">
                  <c:v>0.11529406768324943</c:v>
                </c:pt>
                <c:pt idx="1002" formatCode="0.00%">
                  <c:v>0.13126304056378599</c:v>
                </c:pt>
                <c:pt idx="1003" formatCode="0.00%">
                  <c:v>0.13283958545986574</c:v>
                </c:pt>
                <c:pt idx="1004" formatCode="0.00%">
                  <c:v>9.8612681420853734E-2</c:v>
                </c:pt>
                <c:pt idx="1005" formatCode="0.00%">
                  <c:v>0.10182310381060571</c:v>
                </c:pt>
                <c:pt idx="1006" formatCode="0.00%">
                  <c:v>0.10345859195884038</c:v>
                </c:pt>
                <c:pt idx="1007" formatCode="0.00%">
                  <c:v>9.4760685840621361E-2</c:v>
                </c:pt>
                <c:pt idx="1008" formatCode="0.00%">
                  <c:v>0.12057344255773245</c:v>
                </c:pt>
                <c:pt idx="1009" formatCode="0.00%">
                  <c:v>0.11179362682438951</c:v>
                </c:pt>
                <c:pt idx="1010" formatCode="0.00%">
                  <c:v>8.314378867575771E-2</c:v>
                </c:pt>
                <c:pt idx="1011" formatCode="0.00%">
                  <c:v>0.12045930362400434</c:v>
                </c:pt>
                <c:pt idx="1012" formatCode="0.00%">
                  <c:v>0.10931538484449105</c:v>
                </c:pt>
                <c:pt idx="1013" formatCode="0.00%">
                  <c:v>0.12140168545174598</c:v>
                </c:pt>
                <c:pt idx="1014" formatCode="0.00%">
                  <c:v>0.11042546484925461</c:v>
                </c:pt>
                <c:pt idx="1015" formatCode="0.00%">
                  <c:v>0.11965327412581298</c:v>
                </c:pt>
                <c:pt idx="1016" formatCode="0.00%">
                  <c:v>9.8251821672623252E-2</c:v>
                </c:pt>
                <c:pt idx="1017" formatCode="0.00%">
                  <c:v>0.10313277810312901</c:v>
                </c:pt>
                <c:pt idx="1018" formatCode="0.00%">
                  <c:v>0.11869471362072308</c:v>
                </c:pt>
                <c:pt idx="1019" formatCode="0.00%">
                  <c:v>0.10581585424394332</c:v>
                </c:pt>
                <c:pt idx="1020" formatCode="0.00%">
                  <c:v>9.0790303094229863E-2</c:v>
                </c:pt>
              </c:numCache>
            </c:numRef>
          </c:yVal>
          <c:smooth val="1"/>
          <c:extLst>
            <c:ext xmlns:c16="http://schemas.microsoft.com/office/drawing/2014/chart" uri="{C3380CC4-5D6E-409C-BE32-E72D297353CC}">
              <c16:uniqueId val="{00000000-419D-4DDF-8DB4-7A7BC0ABFBC2}"/>
            </c:ext>
          </c:extLst>
        </c:ser>
        <c:ser>
          <c:idx val="1"/>
          <c:order val="1"/>
          <c:tx>
            <c:v>Minimum</c:v>
          </c:tx>
          <c:spPr>
            <a:ln w="22000">
              <a:solidFill>
                <a:srgbClr val="B45309"/>
              </a:solidFill>
              <a:prstDash val="dash"/>
            </a:ln>
          </c:spPr>
          <c:marker>
            <c:symbol val="none"/>
          </c:marker>
          <c:xVal>
            <c:numRef>
              <c:f>Rates!$B$66:$B$1086</c:f>
              <c:numCache>
                <c:formatCode>0.00%</c:formatCode>
                <c:ptCount val="1021"/>
                <c:pt idx="0">
                  <c:v>0.03</c:v>
                </c:pt>
                <c:pt idx="1">
                  <c:v>3.2500000000000001E-2</c:v>
                </c:pt>
                <c:pt idx="2">
                  <c:v>3.5000000000000003E-2</c:v>
                </c:pt>
                <c:pt idx="3">
                  <c:v>3.7499999999999999E-2</c:v>
                </c:pt>
                <c:pt idx="4">
                  <c:v>0.04</c:v>
                </c:pt>
                <c:pt idx="5">
                  <c:v>4.2500000000000003E-2</c:v>
                </c:pt>
                <c:pt idx="6">
                  <c:v>4.4999999999999998E-2</c:v>
                </c:pt>
                <c:pt idx="7">
                  <c:v>4.7500000000000001E-2</c:v>
                </c:pt>
                <c:pt idx="8">
                  <c:v>0.05</c:v>
                </c:pt>
                <c:pt idx="9">
                  <c:v>5.2499999999999998E-2</c:v>
                </c:pt>
                <c:pt idx="10">
                  <c:v>5.5E-2</c:v>
                </c:pt>
                <c:pt idx="11">
                  <c:v>5.7500000000000002E-2</c:v>
                </c:pt>
                <c:pt idx="12">
                  <c:v>0.06</c:v>
                </c:pt>
                <c:pt idx="13">
                  <c:v>6.25E-2</c:v>
                </c:pt>
                <c:pt idx="14">
                  <c:v>6.5000000000000002E-2</c:v>
                </c:pt>
                <c:pt idx="15">
                  <c:v>6.7500000000000004E-2</c:v>
                </c:pt>
                <c:pt idx="16">
                  <c:v>7.0000000000000007E-2</c:v>
                </c:pt>
                <c:pt idx="17">
                  <c:v>7.2500000000000009E-2</c:v>
                </c:pt>
                <c:pt idx="18">
                  <c:v>7.4999999999999997E-2</c:v>
                </c:pt>
                <c:pt idx="19">
                  <c:v>7.7499999999999999E-2</c:v>
                </c:pt>
                <c:pt idx="20">
                  <c:v>0.08</c:v>
                </c:pt>
                <c:pt idx="21">
                  <c:v>4.9095203925873465E-2</c:v>
                </c:pt>
                <c:pt idx="22">
                  <c:v>7.5044823702192703E-2</c:v>
                </c:pt>
                <c:pt idx="23">
                  <c:v>5.7472039872446534E-2</c:v>
                </c:pt>
                <c:pt idx="24">
                  <c:v>6.6437038087169553E-2</c:v>
                </c:pt>
                <c:pt idx="25">
                  <c:v>3.0614617404349911E-2</c:v>
                </c:pt>
                <c:pt idx="26">
                  <c:v>4.0552836157230314E-2</c:v>
                </c:pt>
                <c:pt idx="27">
                  <c:v>4.6017472822477146E-2</c:v>
                </c:pt>
                <c:pt idx="28">
                  <c:v>7.6428077290444402E-2</c:v>
                </c:pt>
                <c:pt idx="29">
                  <c:v>4.123626055264875E-2</c:v>
                </c:pt>
                <c:pt idx="30">
                  <c:v>4.4119502155034698E-2</c:v>
                </c:pt>
                <c:pt idx="31">
                  <c:v>3.9100827243553543E-2</c:v>
                </c:pt>
                <c:pt idx="32">
                  <c:v>4.855679520209448E-2</c:v>
                </c:pt>
                <c:pt idx="33">
                  <c:v>4.2575636338402702E-2</c:v>
                </c:pt>
                <c:pt idx="34">
                  <c:v>4.83276286013955E-2</c:v>
                </c:pt>
                <c:pt idx="35">
                  <c:v>4.7197764737217818E-2</c:v>
                </c:pt>
                <c:pt idx="36">
                  <c:v>5.5939237935619668E-2</c:v>
                </c:pt>
                <c:pt idx="37">
                  <c:v>4.8561725195763593E-2</c:v>
                </c:pt>
                <c:pt idx="38">
                  <c:v>6.6641000710494488E-2</c:v>
                </c:pt>
                <c:pt idx="39">
                  <c:v>5.2302104463853971E-2</c:v>
                </c:pt>
                <c:pt idx="40">
                  <c:v>6.1970660571174514E-2</c:v>
                </c:pt>
                <c:pt idx="41">
                  <c:v>4.9152303295972366E-2</c:v>
                </c:pt>
                <c:pt idx="42">
                  <c:v>4.6319542595019969E-2</c:v>
                </c:pt>
                <c:pt idx="43">
                  <c:v>5.6397674326101335E-2</c:v>
                </c:pt>
                <c:pt idx="44">
                  <c:v>5.1922549432721954E-2</c:v>
                </c:pt>
                <c:pt idx="45">
                  <c:v>4.3154628120470495E-2</c:v>
                </c:pt>
                <c:pt idx="46">
                  <c:v>4.9788898675703602E-2</c:v>
                </c:pt>
                <c:pt idx="47">
                  <c:v>6.3391442067446346E-2</c:v>
                </c:pt>
                <c:pt idx="48">
                  <c:v>4.3924697450954543E-2</c:v>
                </c:pt>
                <c:pt idx="49">
                  <c:v>3.5401382078426108E-2</c:v>
                </c:pt>
                <c:pt idx="50">
                  <c:v>5.2184772841892366E-2</c:v>
                </c:pt>
                <c:pt idx="51">
                  <c:v>5.5960431340812411E-2</c:v>
                </c:pt>
                <c:pt idx="52">
                  <c:v>6.5273161469414448E-2</c:v>
                </c:pt>
                <c:pt idx="53">
                  <c:v>4.9102637888722683E-2</c:v>
                </c:pt>
                <c:pt idx="54">
                  <c:v>5.0149414295728563E-2</c:v>
                </c:pt>
                <c:pt idx="55">
                  <c:v>5.2834426514502042E-2</c:v>
                </c:pt>
                <c:pt idx="56">
                  <c:v>4.9454377923620348E-2</c:v>
                </c:pt>
                <c:pt idx="57">
                  <c:v>4.1007074452037273E-2</c:v>
                </c:pt>
                <c:pt idx="58">
                  <c:v>6.6894246467038981E-2</c:v>
                </c:pt>
                <c:pt idx="59">
                  <c:v>4.2954759033927474E-2</c:v>
                </c:pt>
                <c:pt idx="60">
                  <c:v>5.9387064650646901E-2</c:v>
                </c:pt>
                <c:pt idx="61">
                  <c:v>6.0186419939137079E-2</c:v>
                </c:pt>
                <c:pt idx="62">
                  <c:v>5.7335897948424891E-2</c:v>
                </c:pt>
                <c:pt idx="63">
                  <c:v>6.9417045331389746E-2</c:v>
                </c:pt>
                <c:pt idx="64">
                  <c:v>6.0260517192941579E-2</c:v>
                </c:pt>
                <c:pt idx="65">
                  <c:v>4.6323684980288805E-2</c:v>
                </c:pt>
                <c:pt idx="66">
                  <c:v>3.9121102537512116E-2</c:v>
                </c:pt>
                <c:pt idx="67">
                  <c:v>5.6611007420773581E-2</c:v>
                </c:pt>
                <c:pt idx="68">
                  <c:v>5.1753024229332131E-2</c:v>
                </c:pt>
                <c:pt idx="69">
                  <c:v>6.3309299598229313E-2</c:v>
                </c:pt>
                <c:pt idx="70">
                  <c:v>6.2784256460347077E-2</c:v>
                </c:pt>
                <c:pt idx="71">
                  <c:v>6.4210722105265017E-2</c:v>
                </c:pt>
                <c:pt idx="72">
                  <c:v>6.1269909563748941E-2</c:v>
                </c:pt>
                <c:pt idx="73">
                  <c:v>3.8774186704191652E-2</c:v>
                </c:pt>
                <c:pt idx="74">
                  <c:v>6.1288051553864874E-2</c:v>
                </c:pt>
                <c:pt idx="75">
                  <c:v>3.6269086469247494E-2</c:v>
                </c:pt>
                <c:pt idx="76">
                  <c:v>4.5194933714292652E-2</c:v>
                </c:pt>
                <c:pt idx="77">
                  <c:v>4.2033946200817768E-2</c:v>
                </c:pt>
                <c:pt idx="78">
                  <c:v>3.7491185494053329E-2</c:v>
                </c:pt>
                <c:pt idx="79">
                  <c:v>6.3392638261468626E-2</c:v>
                </c:pt>
                <c:pt idx="80">
                  <c:v>5.5962210321813186E-2</c:v>
                </c:pt>
                <c:pt idx="81">
                  <c:v>3.936075880092748E-2</c:v>
                </c:pt>
                <c:pt idx="82">
                  <c:v>5.3768201781880631E-2</c:v>
                </c:pt>
                <c:pt idx="83">
                  <c:v>4.9202568943766331E-2</c:v>
                </c:pt>
                <c:pt idx="84">
                  <c:v>5.5995325144422098E-2</c:v>
                </c:pt>
                <c:pt idx="85">
                  <c:v>6.8396620122530671E-2</c:v>
                </c:pt>
                <c:pt idx="86">
                  <c:v>4.8957553285945421E-2</c:v>
                </c:pt>
                <c:pt idx="87">
                  <c:v>5.2151534112082995E-2</c:v>
                </c:pt>
                <c:pt idx="88">
                  <c:v>4.2937321351218881E-2</c:v>
                </c:pt>
                <c:pt idx="89">
                  <c:v>5.6597570956328287E-2</c:v>
                </c:pt>
                <c:pt idx="90">
                  <c:v>4.5663355779551051E-2</c:v>
                </c:pt>
                <c:pt idx="91">
                  <c:v>4.638113765279827E-2</c:v>
                </c:pt>
                <c:pt idx="92">
                  <c:v>4.1069873100057816E-2</c:v>
                </c:pt>
                <c:pt idx="93">
                  <c:v>5.6436020474488299E-2</c:v>
                </c:pt>
                <c:pt idx="94">
                  <c:v>5.9559673014021944E-2</c:v>
                </c:pt>
                <c:pt idx="95">
                  <c:v>6.1489371595022151E-2</c:v>
                </c:pt>
                <c:pt idx="96">
                  <c:v>4.8977310561303861E-2</c:v>
                </c:pt>
                <c:pt idx="97">
                  <c:v>3.4569972139296495E-2</c:v>
                </c:pt>
                <c:pt idx="98">
                  <c:v>3.5925680751159539E-2</c:v>
                </c:pt>
                <c:pt idx="99">
                  <c:v>5.8430324831753977E-2</c:v>
                </c:pt>
                <c:pt idx="100">
                  <c:v>5.4627621244857566E-2</c:v>
                </c:pt>
                <c:pt idx="101">
                  <c:v>7.2415863743570813E-2</c:v>
                </c:pt>
                <c:pt idx="102">
                  <c:v>5.5673059001754316E-2</c:v>
                </c:pt>
                <c:pt idx="103">
                  <c:v>5.8365221554226188E-2</c:v>
                </c:pt>
                <c:pt idx="104">
                  <c:v>4.5910905265858289E-2</c:v>
                </c:pt>
                <c:pt idx="105">
                  <c:v>4.5404767033535992E-2</c:v>
                </c:pt>
                <c:pt idx="106">
                  <c:v>4.9859203389088419E-2</c:v>
                </c:pt>
                <c:pt idx="107">
                  <c:v>5.9771276160199852E-2</c:v>
                </c:pt>
                <c:pt idx="108">
                  <c:v>4.369946305717462E-2</c:v>
                </c:pt>
                <c:pt idx="109">
                  <c:v>3.9566403307189309E-2</c:v>
                </c:pt>
                <c:pt idx="110">
                  <c:v>3.8221473040526359E-2</c:v>
                </c:pt>
                <c:pt idx="111">
                  <c:v>4.990531771934785E-2</c:v>
                </c:pt>
                <c:pt idx="112">
                  <c:v>5.0464981320151286E-2</c:v>
                </c:pt>
                <c:pt idx="113">
                  <c:v>6.4965686294495228E-2</c:v>
                </c:pt>
                <c:pt idx="114">
                  <c:v>3.9267569764450873E-2</c:v>
                </c:pt>
                <c:pt idx="115">
                  <c:v>4.577484905032899E-2</c:v>
                </c:pt>
                <c:pt idx="116">
                  <c:v>6.4676308085804907E-2</c:v>
                </c:pt>
                <c:pt idx="117">
                  <c:v>4.5611332894319179E-2</c:v>
                </c:pt>
                <c:pt idx="118">
                  <c:v>4.0221470327401546E-2</c:v>
                </c:pt>
                <c:pt idx="119">
                  <c:v>4.0624572616726522E-2</c:v>
                </c:pt>
                <c:pt idx="120">
                  <c:v>5.1929215528767239E-2</c:v>
                </c:pt>
                <c:pt idx="121">
                  <c:v>3.4679039997674424E-2</c:v>
                </c:pt>
                <c:pt idx="122">
                  <c:v>3.8708999215284409E-2</c:v>
                </c:pt>
                <c:pt idx="123">
                  <c:v>5.6207523888816002E-2</c:v>
                </c:pt>
                <c:pt idx="124">
                  <c:v>6.5443999900598515E-2</c:v>
                </c:pt>
                <c:pt idx="125">
                  <c:v>4.3377785506310773E-2</c:v>
                </c:pt>
                <c:pt idx="126">
                  <c:v>6.5070617026444649E-2</c:v>
                </c:pt>
                <c:pt idx="127">
                  <c:v>4.4980349190982503E-2</c:v>
                </c:pt>
                <c:pt idx="128">
                  <c:v>4.5922997782372021E-2</c:v>
                </c:pt>
                <c:pt idx="129">
                  <c:v>5.1051644776888158E-2</c:v>
                </c:pt>
                <c:pt idx="130">
                  <c:v>5.3530726095567534E-2</c:v>
                </c:pt>
                <c:pt idx="131">
                  <c:v>3.7161176306201187E-2</c:v>
                </c:pt>
                <c:pt idx="132">
                  <c:v>5.302912059322671E-2</c:v>
                </c:pt>
                <c:pt idx="133">
                  <c:v>5.3251227992995157E-2</c:v>
                </c:pt>
                <c:pt idx="134">
                  <c:v>5.4345313767593835E-2</c:v>
                </c:pt>
                <c:pt idx="135">
                  <c:v>4.1235286528799819E-2</c:v>
                </c:pt>
                <c:pt idx="136">
                  <c:v>6.8275654070123204E-2</c:v>
                </c:pt>
                <c:pt idx="137">
                  <c:v>5.3665127460621423E-2</c:v>
                </c:pt>
                <c:pt idx="138">
                  <c:v>4.4848857456537862E-2</c:v>
                </c:pt>
                <c:pt idx="139">
                  <c:v>5.6836423026730407E-2</c:v>
                </c:pt>
                <c:pt idx="140">
                  <c:v>4.3967878086295167E-2</c:v>
                </c:pt>
                <c:pt idx="141">
                  <c:v>3.9529169425366689E-2</c:v>
                </c:pt>
                <c:pt idx="142">
                  <c:v>5.2159071749230027E-2</c:v>
                </c:pt>
                <c:pt idx="143">
                  <c:v>4.9017217023118689E-2</c:v>
                </c:pt>
                <c:pt idx="144">
                  <c:v>6.7717566356796613E-2</c:v>
                </c:pt>
                <c:pt idx="145">
                  <c:v>5.6673768079107442E-2</c:v>
                </c:pt>
                <c:pt idx="146">
                  <c:v>5.1090758807336809E-2</c:v>
                </c:pt>
                <c:pt idx="147">
                  <c:v>4.9020459276502379E-2</c:v>
                </c:pt>
                <c:pt idx="148">
                  <c:v>5.2349698524968152E-2</c:v>
                </c:pt>
                <c:pt idx="149">
                  <c:v>3.6961246488464571E-2</c:v>
                </c:pt>
                <c:pt idx="150">
                  <c:v>5.8943306632096501E-2</c:v>
                </c:pt>
                <c:pt idx="151">
                  <c:v>5.2224257995227327E-2</c:v>
                </c:pt>
                <c:pt idx="152">
                  <c:v>3.6679397107174022E-2</c:v>
                </c:pt>
                <c:pt idx="153">
                  <c:v>5.5765056802164897E-2</c:v>
                </c:pt>
                <c:pt idx="154">
                  <c:v>4.0991777200581538E-2</c:v>
                </c:pt>
                <c:pt idx="155">
                  <c:v>5.1666650073676171E-2</c:v>
                </c:pt>
                <c:pt idx="156">
                  <c:v>5.9883274683693873E-2</c:v>
                </c:pt>
                <c:pt idx="157">
                  <c:v>6.7298233899929769E-2</c:v>
                </c:pt>
                <c:pt idx="158">
                  <c:v>3.5595249698030448E-2</c:v>
                </c:pt>
                <c:pt idx="159">
                  <c:v>5.3589884941023583E-2</c:v>
                </c:pt>
                <c:pt idx="160">
                  <c:v>6.3633233843416181E-2</c:v>
                </c:pt>
                <c:pt idx="161">
                  <c:v>6.4678038013544548E-2</c:v>
                </c:pt>
                <c:pt idx="162">
                  <c:v>5.2354708208693354E-2</c:v>
                </c:pt>
                <c:pt idx="163">
                  <c:v>4.0900803920063462E-2</c:v>
                </c:pt>
                <c:pt idx="164">
                  <c:v>4.9907589504075735E-2</c:v>
                </c:pt>
                <c:pt idx="165">
                  <c:v>4.0966660249415768E-2</c:v>
                </c:pt>
                <c:pt idx="166">
                  <c:v>6.4083520234179236E-2</c:v>
                </c:pt>
                <c:pt idx="167">
                  <c:v>6.0432542347111602E-2</c:v>
                </c:pt>
                <c:pt idx="168">
                  <c:v>4.8053880006529021E-2</c:v>
                </c:pt>
                <c:pt idx="169">
                  <c:v>4.8585728987392975E-2</c:v>
                </c:pt>
                <c:pt idx="170">
                  <c:v>5.2291648821684536E-2</c:v>
                </c:pt>
                <c:pt idx="171">
                  <c:v>4.1882833604912961E-2</c:v>
                </c:pt>
                <c:pt idx="172">
                  <c:v>5.5431717362277755E-2</c:v>
                </c:pt>
                <c:pt idx="173">
                  <c:v>6.6103764726137396E-2</c:v>
                </c:pt>
                <c:pt idx="174">
                  <c:v>4.7619020755082016E-2</c:v>
                </c:pt>
                <c:pt idx="175">
                  <c:v>4.7257131060984038E-2</c:v>
                </c:pt>
                <c:pt idx="176">
                  <c:v>5.3166955148294878E-2</c:v>
                </c:pt>
                <c:pt idx="177">
                  <c:v>5.8452349557322356E-2</c:v>
                </c:pt>
                <c:pt idx="178">
                  <c:v>5.5017743379647828E-2</c:v>
                </c:pt>
                <c:pt idx="179">
                  <c:v>5.7650797621234054E-2</c:v>
                </c:pt>
                <c:pt idx="180">
                  <c:v>4.0484226372640549E-2</c:v>
                </c:pt>
                <c:pt idx="181">
                  <c:v>6.3642062555745949E-2</c:v>
                </c:pt>
                <c:pt idx="182">
                  <c:v>5.6547195511650147E-2</c:v>
                </c:pt>
                <c:pt idx="183">
                  <c:v>5.4617573051185711E-2</c:v>
                </c:pt>
                <c:pt idx="184">
                  <c:v>5.5300870354650478E-2</c:v>
                </c:pt>
                <c:pt idx="185">
                  <c:v>5.8456651309245378E-2</c:v>
                </c:pt>
                <c:pt idx="186">
                  <c:v>4.7422967998688205E-2</c:v>
                </c:pt>
                <c:pt idx="187">
                  <c:v>4.7287592842392021E-2</c:v>
                </c:pt>
                <c:pt idx="188">
                  <c:v>5.8867049906679916E-2</c:v>
                </c:pt>
                <c:pt idx="189">
                  <c:v>4.5105854728490206E-2</c:v>
                </c:pt>
                <c:pt idx="190">
                  <c:v>4.7492465312099233E-2</c:v>
                </c:pt>
                <c:pt idx="191">
                  <c:v>6.4277270089323185E-2</c:v>
                </c:pt>
                <c:pt idx="192">
                  <c:v>5.8517686640408753E-2</c:v>
                </c:pt>
                <c:pt idx="193">
                  <c:v>4.9385949158126427E-2</c:v>
                </c:pt>
                <c:pt idx="194">
                  <c:v>6.3546460244052305E-2</c:v>
                </c:pt>
                <c:pt idx="195">
                  <c:v>6.9059745394025207E-2</c:v>
                </c:pt>
                <c:pt idx="196">
                  <c:v>3.3803437926516314E-2</c:v>
                </c:pt>
                <c:pt idx="197">
                  <c:v>5.5754756509692346E-2</c:v>
                </c:pt>
                <c:pt idx="198">
                  <c:v>5.1223714944770044E-2</c:v>
                </c:pt>
                <c:pt idx="199">
                  <c:v>5.4562116849909234E-2</c:v>
                </c:pt>
                <c:pt idx="200">
                  <c:v>3.8242449389094074E-2</c:v>
                </c:pt>
                <c:pt idx="201">
                  <c:v>4.0034818998414899E-2</c:v>
                </c:pt>
                <c:pt idx="202">
                  <c:v>5.9688353401865485E-2</c:v>
                </c:pt>
                <c:pt idx="203">
                  <c:v>6.7681304419686616E-2</c:v>
                </c:pt>
                <c:pt idx="204">
                  <c:v>3.7749629776905574E-2</c:v>
                </c:pt>
                <c:pt idx="205">
                  <c:v>4.9958235670978672E-2</c:v>
                </c:pt>
                <c:pt idx="206">
                  <c:v>4.7459736753633332E-2</c:v>
                </c:pt>
                <c:pt idx="207">
                  <c:v>5.3367267103879623E-2</c:v>
                </c:pt>
                <c:pt idx="208">
                  <c:v>6.7091529531533786E-2</c:v>
                </c:pt>
                <c:pt idx="209">
                  <c:v>4.8861456219823601E-2</c:v>
                </c:pt>
                <c:pt idx="210">
                  <c:v>4.8112783649899453E-2</c:v>
                </c:pt>
                <c:pt idx="211">
                  <c:v>4.4147416875906877E-2</c:v>
                </c:pt>
                <c:pt idx="212">
                  <c:v>5.8856478524237484E-2</c:v>
                </c:pt>
                <c:pt idx="213">
                  <c:v>6.4676817364298533E-2</c:v>
                </c:pt>
                <c:pt idx="214">
                  <c:v>5.9151939257222931E-2</c:v>
                </c:pt>
                <c:pt idx="215">
                  <c:v>5.3239343574566202E-2</c:v>
                </c:pt>
                <c:pt idx="216">
                  <c:v>4.5990508661599705E-2</c:v>
                </c:pt>
                <c:pt idx="217">
                  <c:v>3.2168007327393278E-2</c:v>
                </c:pt>
                <c:pt idx="218">
                  <c:v>5.9191299252421212E-2</c:v>
                </c:pt>
                <c:pt idx="219">
                  <c:v>5.4434769216417128E-2</c:v>
                </c:pt>
                <c:pt idx="220">
                  <c:v>4.1454462201141316E-2</c:v>
                </c:pt>
                <c:pt idx="221">
                  <c:v>4.6685447251303511E-2</c:v>
                </c:pt>
                <c:pt idx="222">
                  <c:v>5.3373912345329566E-2</c:v>
                </c:pt>
                <c:pt idx="223">
                  <c:v>5.1989175687990996E-2</c:v>
                </c:pt>
                <c:pt idx="224">
                  <c:v>3.3424865601479739E-2</c:v>
                </c:pt>
                <c:pt idx="225">
                  <c:v>6.3771801798494038E-2</c:v>
                </c:pt>
                <c:pt idx="226">
                  <c:v>5.7121057770139913E-2</c:v>
                </c:pt>
                <c:pt idx="227">
                  <c:v>4.7512233460912739E-2</c:v>
                </c:pt>
                <c:pt idx="228">
                  <c:v>5.0501770094307535E-2</c:v>
                </c:pt>
                <c:pt idx="229">
                  <c:v>6.4962289157745032E-2</c:v>
                </c:pt>
                <c:pt idx="230">
                  <c:v>5.8913043758483191E-2</c:v>
                </c:pt>
                <c:pt idx="231">
                  <c:v>5.4608810441660383E-2</c:v>
                </c:pt>
                <c:pt idx="232">
                  <c:v>5.0416562083053638E-2</c:v>
                </c:pt>
                <c:pt idx="233">
                  <c:v>3.4306164216413651E-2</c:v>
                </c:pt>
                <c:pt idx="234">
                  <c:v>4.5079353559731097E-2</c:v>
                </c:pt>
                <c:pt idx="235">
                  <c:v>6.6229371527394137E-2</c:v>
                </c:pt>
                <c:pt idx="236">
                  <c:v>6.1371415129911171E-2</c:v>
                </c:pt>
                <c:pt idx="237">
                  <c:v>5.6568035091094593E-2</c:v>
                </c:pt>
                <c:pt idx="238">
                  <c:v>5.2636596559681656E-2</c:v>
                </c:pt>
                <c:pt idx="239">
                  <c:v>7.5120457528867729E-2</c:v>
                </c:pt>
                <c:pt idx="240">
                  <c:v>3.8058468828980514E-2</c:v>
                </c:pt>
                <c:pt idx="241">
                  <c:v>4.2117989453000812E-2</c:v>
                </c:pt>
                <c:pt idx="242">
                  <c:v>5.0549898051400782E-2</c:v>
                </c:pt>
                <c:pt idx="243">
                  <c:v>4.0888372629172463E-2</c:v>
                </c:pt>
                <c:pt idx="244">
                  <c:v>5.8188681450865462E-2</c:v>
                </c:pt>
                <c:pt idx="245">
                  <c:v>6.6439609691079121E-2</c:v>
                </c:pt>
                <c:pt idx="246">
                  <c:v>4.2759094258388468E-2</c:v>
                </c:pt>
                <c:pt idx="247">
                  <c:v>5.6747027399779701E-2</c:v>
                </c:pt>
                <c:pt idx="248">
                  <c:v>5.0335752034553809E-2</c:v>
                </c:pt>
                <c:pt idx="249">
                  <c:v>3.7850410786474185E-2</c:v>
                </c:pt>
                <c:pt idx="250">
                  <c:v>4.3948294995697065E-2</c:v>
                </c:pt>
                <c:pt idx="251">
                  <c:v>5.8606495631205131E-2</c:v>
                </c:pt>
                <c:pt idx="252">
                  <c:v>5.1491111726252481E-2</c:v>
                </c:pt>
                <c:pt idx="253">
                  <c:v>5.8553753457460792E-2</c:v>
                </c:pt>
                <c:pt idx="254">
                  <c:v>4.3282966762885344E-2</c:v>
                </c:pt>
                <c:pt idx="255">
                  <c:v>6.5819292598129936E-2</c:v>
                </c:pt>
                <c:pt idx="256">
                  <c:v>3.6922379600599305E-2</c:v>
                </c:pt>
                <c:pt idx="257">
                  <c:v>5.7197786193281239E-2</c:v>
                </c:pt>
                <c:pt idx="258">
                  <c:v>5.1771809264194779E-2</c:v>
                </c:pt>
                <c:pt idx="259">
                  <c:v>4.0406207138481066E-2</c:v>
                </c:pt>
                <c:pt idx="260">
                  <c:v>4.2115914288999308E-2</c:v>
                </c:pt>
                <c:pt idx="261">
                  <c:v>3.4729739859570466E-2</c:v>
                </c:pt>
                <c:pt idx="262">
                  <c:v>4.8549734435270456E-2</c:v>
                </c:pt>
                <c:pt idx="263">
                  <c:v>3.5303496892283306E-2</c:v>
                </c:pt>
                <c:pt idx="264">
                  <c:v>3.973734909572834E-2</c:v>
                </c:pt>
                <c:pt idx="265">
                  <c:v>3.5476241233581084E-2</c:v>
                </c:pt>
                <c:pt idx="266">
                  <c:v>5.1532387087903725E-2</c:v>
                </c:pt>
                <c:pt idx="267">
                  <c:v>4.4418882895871509E-2</c:v>
                </c:pt>
                <c:pt idx="268">
                  <c:v>3.9520830013160993E-2</c:v>
                </c:pt>
                <c:pt idx="269">
                  <c:v>6.2561443718058676E-2</c:v>
                </c:pt>
                <c:pt idx="270">
                  <c:v>4.5637785666035408E-2</c:v>
                </c:pt>
                <c:pt idx="271">
                  <c:v>5.2302486788659633E-2</c:v>
                </c:pt>
                <c:pt idx="272">
                  <c:v>4.3990152194519287E-2</c:v>
                </c:pt>
                <c:pt idx="273">
                  <c:v>5.2676753239975088E-2</c:v>
                </c:pt>
                <c:pt idx="274">
                  <c:v>6.9353352829581313E-2</c:v>
                </c:pt>
                <c:pt idx="275">
                  <c:v>6.1792187680360343E-2</c:v>
                </c:pt>
                <c:pt idx="276">
                  <c:v>4.5344616733211184E-2</c:v>
                </c:pt>
                <c:pt idx="277">
                  <c:v>4.0402465718451019E-2</c:v>
                </c:pt>
                <c:pt idx="278">
                  <c:v>4.4045927365679576E-2</c:v>
                </c:pt>
                <c:pt idx="279">
                  <c:v>4.5369110317811309E-2</c:v>
                </c:pt>
                <c:pt idx="280">
                  <c:v>3.9066407436888127E-2</c:v>
                </c:pt>
                <c:pt idx="281">
                  <c:v>5.3568140300099744E-2</c:v>
                </c:pt>
                <c:pt idx="282">
                  <c:v>5.3141452880500206E-2</c:v>
                </c:pt>
                <c:pt idx="283">
                  <c:v>6.9563016472149408E-2</c:v>
                </c:pt>
                <c:pt idx="284">
                  <c:v>4.9118979890244815E-2</c:v>
                </c:pt>
                <c:pt idx="285">
                  <c:v>5.2897440060202069E-2</c:v>
                </c:pt>
                <c:pt idx="286">
                  <c:v>4.7794719152740445E-2</c:v>
                </c:pt>
                <c:pt idx="287">
                  <c:v>3.4606661604138028E-2</c:v>
                </c:pt>
                <c:pt idx="288">
                  <c:v>6.0643387057600903E-2</c:v>
                </c:pt>
                <c:pt idx="289">
                  <c:v>6.0182312071666022E-2</c:v>
                </c:pt>
                <c:pt idx="290">
                  <c:v>4.5667009708722388E-2</c:v>
                </c:pt>
                <c:pt idx="291">
                  <c:v>4.4026547495713615E-2</c:v>
                </c:pt>
                <c:pt idx="292">
                  <c:v>5.7380235924327824E-2</c:v>
                </c:pt>
                <c:pt idx="293">
                  <c:v>6.0421861311805776E-2</c:v>
                </c:pt>
                <c:pt idx="294">
                  <c:v>5.4317734227786477E-2</c:v>
                </c:pt>
                <c:pt idx="295">
                  <c:v>4.8326302812769992E-2</c:v>
                </c:pt>
                <c:pt idx="296">
                  <c:v>4.9354938810514601E-2</c:v>
                </c:pt>
                <c:pt idx="297">
                  <c:v>6.2717808556792182E-2</c:v>
                </c:pt>
                <c:pt idx="298">
                  <c:v>5.8487393668773466E-2</c:v>
                </c:pt>
                <c:pt idx="299">
                  <c:v>5.8330963703821737E-2</c:v>
                </c:pt>
                <c:pt idx="300">
                  <c:v>4.9378637577205869E-2</c:v>
                </c:pt>
                <c:pt idx="301">
                  <c:v>5.2768550509886658E-2</c:v>
                </c:pt>
                <c:pt idx="302">
                  <c:v>4.9393592913512127E-2</c:v>
                </c:pt>
                <c:pt idx="303">
                  <c:v>4.0863374024614159E-2</c:v>
                </c:pt>
                <c:pt idx="304">
                  <c:v>4.7636217748858498E-2</c:v>
                </c:pt>
                <c:pt idx="305">
                  <c:v>3.7527945956491844E-2</c:v>
                </c:pt>
                <c:pt idx="306">
                  <c:v>4.1468774479974949E-2</c:v>
                </c:pt>
                <c:pt idx="307">
                  <c:v>4.029346099253351E-2</c:v>
                </c:pt>
                <c:pt idx="308">
                  <c:v>6.6756428274531515E-2</c:v>
                </c:pt>
                <c:pt idx="309">
                  <c:v>3.6629349718998741E-2</c:v>
                </c:pt>
                <c:pt idx="310">
                  <c:v>6.5417168904751577E-2</c:v>
                </c:pt>
                <c:pt idx="311">
                  <c:v>3.9742619675961141E-2</c:v>
                </c:pt>
                <c:pt idx="312">
                  <c:v>5.9511963950439867E-2</c:v>
                </c:pt>
                <c:pt idx="313">
                  <c:v>4.3808116171353932E-2</c:v>
                </c:pt>
                <c:pt idx="314">
                  <c:v>5.4411984366883742E-2</c:v>
                </c:pt>
                <c:pt idx="315">
                  <c:v>5.7243175269477156E-2</c:v>
                </c:pt>
                <c:pt idx="316">
                  <c:v>3.605712851941683E-2</c:v>
                </c:pt>
                <c:pt idx="317">
                  <c:v>5.2862072883886529E-2</c:v>
                </c:pt>
                <c:pt idx="318">
                  <c:v>5.5490146177958173E-2</c:v>
                </c:pt>
                <c:pt idx="319">
                  <c:v>3.3918418633348636E-2</c:v>
                </c:pt>
                <c:pt idx="320">
                  <c:v>4.0614843804628147E-2</c:v>
                </c:pt>
                <c:pt idx="321">
                  <c:v>3.815290750389936E-2</c:v>
                </c:pt>
                <c:pt idx="322">
                  <c:v>4.5795661163176751E-2</c:v>
                </c:pt>
                <c:pt idx="323">
                  <c:v>6.9311745314512729E-2</c:v>
                </c:pt>
                <c:pt idx="324">
                  <c:v>4.7607090336182024E-2</c:v>
                </c:pt>
                <c:pt idx="325">
                  <c:v>5.3088259919040315E-2</c:v>
                </c:pt>
                <c:pt idx="326">
                  <c:v>4.5240335648086112E-2</c:v>
                </c:pt>
                <c:pt idx="327">
                  <c:v>4.3118322758004417E-2</c:v>
                </c:pt>
                <c:pt idx="328">
                  <c:v>3.8251109292206563E-2</c:v>
                </c:pt>
                <c:pt idx="329">
                  <c:v>4.4597848184736458E-2</c:v>
                </c:pt>
                <c:pt idx="330">
                  <c:v>4.1426655890659608E-2</c:v>
                </c:pt>
                <c:pt idx="331">
                  <c:v>5.8223231970374517E-2</c:v>
                </c:pt>
                <c:pt idx="332">
                  <c:v>4.1755458168477602E-2</c:v>
                </c:pt>
                <c:pt idx="333">
                  <c:v>4.2869965708986379E-2</c:v>
                </c:pt>
                <c:pt idx="334">
                  <c:v>6.6864424903088943E-2</c:v>
                </c:pt>
                <c:pt idx="335">
                  <c:v>5.3448093368457503E-2</c:v>
                </c:pt>
                <c:pt idx="336">
                  <c:v>4.7882375908835359E-2</c:v>
                </c:pt>
                <c:pt idx="337">
                  <c:v>6.9610288346745972E-2</c:v>
                </c:pt>
                <c:pt idx="338">
                  <c:v>3.6965101090299837E-2</c:v>
                </c:pt>
                <c:pt idx="339">
                  <c:v>6.1992435257395215E-2</c:v>
                </c:pt>
                <c:pt idx="340">
                  <c:v>5.812991199455414E-2</c:v>
                </c:pt>
                <c:pt idx="341">
                  <c:v>4.4231147865642993E-2</c:v>
                </c:pt>
                <c:pt idx="342">
                  <c:v>4.5916049270023074E-2</c:v>
                </c:pt>
                <c:pt idx="343">
                  <c:v>5.1109448752026165E-2</c:v>
                </c:pt>
                <c:pt idx="344">
                  <c:v>4.3151682489665895E-2</c:v>
                </c:pt>
                <c:pt idx="345">
                  <c:v>5.4513370023074749E-2</c:v>
                </c:pt>
                <c:pt idx="346">
                  <c:v>7.1138186476242204E-2</c:v>
                </c:pt>
                <c:pt idx="347">
                  <c:v>6.1263317560071799E-2</c:v>
                </c:pt>
                <c:pt idx="348">
                  <c:v>6.4128905526176436E-2</c:v>
                </c:pt>
                <c:pt idx="349">
                  <c:v>4.158908002766077E-2</c:v>
                </c:pt>
                <c:pt idx="350">
                  <c:v>5.873631241091648E-2</c:v>
                </c:pt>
                <c:pt idx="351">
                  <c:v>3.4599427837208319E-2</c:v>
                </c:pt>
                <c:pt idx="352">
                  <c:v>5.5397771488336967E-2</c:v>
                </c:pt>
                <c:pt idx="353">
                  <c:v>3.8055487264464068E-2</c:v>
                </c:pt>
                <c:pt idx="354">
                  <c:v>3.6311594805283856E-2</c:v>
                </c:pt>
                <c:pt idx="355">
                  <c:v>5.091415492583562E-2</c:v>
                </c:pt>
                <c:pt idx="356">
                  <c:v>6.0676840720821246E-2</c:v>
                </c:pt>
                <c:pt idx="357">
                  <c:v>5.4133925853602952E-2</c:v>
                </c:pt>
                <c:pt idx="358">
                  <c:v>5.8844768396958069E-2</c:v>
                </c:pt>
                <c:pt idx="359">
                  <c:v>5.3108569921035943E-2</c:v>
                </c:pt>
                <c:pt idx="360">
                  <c:v>5.0099018250870167E-2</c:v>
                </c:pt>
                <c:pt idx="361">
                  <c:v>4.6431796881522644E-2</c:v>
                </c:pt>
                <c:pt idx="362">
                  <c:v>5.2115910661025812E-2</c:v>
                </c:pt>
                <c:pt idx="363">
                  <c:v>7.2363939597502744E-2</c:v>
                </c:pt>
                <c:pt idx="364">
                  <c:v>3.9817669471527602E-2</c:v>
                </c:pt>
                <c:pt idx="365">
                  <c:v>5.3404149840820939E-2</c:v>
                </c:pt>
                <c:pt idx="366">
                  <c:v>4.1210453064976331E-2</c:v>
                </c:pt>
                <c:pt idx="367">
                  <c:v>4.8121749078250717E-2</c:v>
                </c:pt>
                <c:pt idx="368">
                  <c:v>5.1505404117946851E-2</c:v>
                </c:pt>
                <c:pt idx="369">
                  <c:v>5.2626495699301674E-2</c:v>
                </c:pt>
                <c:pt idx="370">
                  <c:v>4.3501692883927322E-2</c:v>
                </c:pt>
                <c:pt idx="371">
                  <c:v>5.8272466241557436E-2</c:v>
                </c:pt>
                <c:pt idx="372">
                  <c:v>6.5419176467308021E-2</c:v>
                </c:pt>
                <c:pt idx="373">
                  <c:v>5.5924174423429937E-2</c:v>
                </c:pt>
                <c:pt idx="374">
                  <c:v>5.0279137002862129E-2</c:v>
                </c:pt>
                <c:pt idx="375">
                  <c:v>4.4962336209277726E-2</c:v>
                </c:pt>
                <c:pt idx="376">
                  <c:v>4.0708328891298856E-2</c:v>
                </c:pt>
                <c:pt idx="377">
                  <c:v>3.7867709047288561E-2</c:v>
                </c:pt>
                <c:pt idx="378">
                  <c:v>5.8901158636905579E-2</c:v>
                </c:pt>
                <c:pt idx="379">
                  <c:v>4.7854426612193954E-2</c:v>
                </c:pt>
                <c:pt idx="380">
                  <c:v>4.3411926225759956E-2</c:v>
                </c:pt>
                <c:pt idx="381">
                  <c:v>5.47877631190858E-2</c:v>
                </c:pt>
                <c:pt idx="382">
                  <c:v>3.8265249294053109E-2</c:v>
                </c:pt>
                <c:pt idx="383">
                  <c:v>4.3332786313110945E-2</c:v>
                </c:pt>
                <c:pt idx="384">
                  <c:v>3.9235069422243564E-2</c:v>
                </c:pt>
                <c:pt idx="385">
                  <c:v>5.8516600568745358E-2</c:v>
                </c:pt>
                <c:pt idx="386">
                  <c:v>4.1775550838289974E-2</c:v>
                </c:pt>
                <c:pt idx="387">
                  <c:v>3.7878111039302158E-2</c:v>
                </c:pt>
                <c:pt idx="388">
                  <c:v>4.7490642681191644E-2</c:v>
                </c:pt>
                <c:pt idx="389">
                  <c:v>4.4829689625118095E-2</c:v>
                </c:pt>
                <c:pt idx="390">
                  <c:v>3.9230249688651672E-2</c:v>
                </c:pt>
                <c:pt idx="391">
                  <c:v>6.0334404781065207E-2</c:v>
                </c:pt>
                <c:pt idx="392">
                  <c:v>4.1111104342228956E-2</c:v>
                </c:pt>
                <c:pt idx="393">
                  <c:v>4.2806369424767315E-2</c:v>
                </c:pt>
                <c:pt idx="394">
                  <c:v>6.6333535906044572E-2</c:v>
                </c:pt>
                <c:pt idx="395">
                  <c:v>5.5063958792763226E-2</c:v>
                </c:pt>
                <c:pt idx="396">
                  <c:v>5.3318192844394194E-2</c:v>
                </c:pt>
                <c:pt idx="397">
                  <c:v>5.1925790434389614E-2</c:v>
                </c:pt>
                <c:pt idx="398">
                  <c:v>6.1693825387947494E-2</c:v>
                </c:pt>
                <c:pt idx="399">
                  <c:v>6.5931213720765366E-2</c:v>
                </c:pt>
                <c:pt idx="400">
                  <c:v>5.4606901421990713E-2</c:v>
                </c:pt>
                <c:pt idx="401">
                  <c:v>4.4915664791078808E-2</c:v>
                </c:pt>
                <c:pt idx="402">
                  <c:v>4.6627454667734991E-2</c:v>
                </c:pt>
                <c:pt idx="403">
                  <c:v>3.7848387657520452E-2</c:v>
                </c:pt>
                <c:pt idx="404">
                  <c:v>5.7714623160442069E-2</c:v>
                </c:pt>
                <c:pt idx="405">
                  <c:v>5.7939851294779091E-2</c:v>
                </c:pt>
                <c:pt idx="406">
                  <c:v>5.1874496838665296E-2</c:v>
                </c:pt>
                <c:pt idx="407">
                  <c:v>5.9171984603971522E-2</c:v>
                </c:pt>
                <c:pt idx="408">
                  <c:v>5.7995983559051625E-2</c:v>
                </c:pt>
                <c:pt idx="409">
                  <c:v>6.4921906778654143E-2</c:v>
                </c:pt>
                <c:pt idx="410">
                  <c:v>4.1884595659834496E-2</c:v>
                </c:pt>
                <c:pt idx="411">
                  <c:v>6.6397646806926475E-2</c:v>
                </c:pt>
                <c:pt idx="412">
                  <c:v>5.6452718657359027E-2</c:v>
                </c:pt>
                <c:pt idx="413">
                  <c:v>3.4090387625338475E-2</c:v>
                </c:pt>
                <c:pt idx="414">
                  <c:v>4.9352340447755196E-2</c:v>
                </c:pt>
                <c:pt idx="415">
                  <c:v>4.4068015216702422E-2</c:v>
                </c:pt>
                <c:pt idx="416">
                  <c:v>5.773195671187005E-2</c:v>
                </c:pt>
                <c:pt idx="417">
                  <c:v>5.4424531703686455E-2</c:v>
                </c:pt>
                <c:pt idx="418">
                  <c:v>5.8635556132813127E-2</c:v>
                </c:pt>
                <c:pt idx="419">
                  <c:v>6.7643313917727099E-2</c:v>
                </c:pt>
                <c:pt idx="420">
                  <c:v>4.8583998720304021E-2</c:v>
                </c:pt>
                <c:pt idx="421">
                  <c:v>6.7736873682159485E-2</c:v>
                </c:pt>
                <c:pt idx="422">
                  <c:v>6.5956035508173458E-2</c:v>
                </c:pt>
                <c:pt idx="423">
                  <c:v>5.2779650420405472E-2</c:v>
                </c:pt>
                <c:pt idx="424">
                  <c:v>4.3125128272283569E-2</c:v>
                </c:pt>
                <c:pt idx="425">
                  <c:v>6.536962613671593E-2</c:v>
                </c:pt>
                <c:pt idx="426">
                  <c:v>3.3265220012158821E-2</c:v>
                </c:pt>
                <c:pt idx="427">
                  <c:v>5.5123960050483006E-2</c:v>
                </c:pt>
                <c:pt idx="428">
                  <c:v>6.6029320188951857E-2</c:v>
                </c:pt>
                <c:pt idx="429">
                  <c:v>4.8383108539699023E-2</c:v>
                </c:pt>
                <c:pt idx="430">
                  <c:v>4.5799905949458319E-2</c:v>
                </c:pt>
                <c:pt idx="431">
                  <c:v>5.0904838088092388E-2</c:v>
                </c:pt>
                <c:pt idx="432">
                  <c:v>4.1936945758758816E-2</c:v>
                </c:pt>
                <c:pt idx="433">
                  <c:v>5.4078035791066272E-2</c:v>
                </c:pt>
                <c:pt idx="434">
                  <c:v>3.5121792470250636E-2</c:v>
                </c:pt>
                <c:pt idx="435">
                  <c:v>5.2588965107444333E-2</c:v>
                </c:pt>
                <c:pt idx="436">
                  <c:v>5.0013010538040303E-2</c:v>
                </c:pt>
                <c:pt idx="437">
                  <c:v>6.601849518548733E-2</c:v>
                </c:pt>
                <c:pt idx="438">
                  <c:v>6.0467971171947424E-2</c:v>
                </c:pt>
                <c:pt idx="439">
                  <c:v>6.5556193543853031E-2</c:v>
                </c:pt>
                <c:pt idx="440">
                  <c:v>4.7808941499510649E-2</c:v>
                </c:pt>
                <c:pt idx="441">
                  <c:v>4.8511769089135598E-2</c:v>
                </c:pt>
                <c:pt idx="442">
                  <c:v>5.4213726488900604E-2</c:v>
                </c:pt>
                <c:pt idx="443">
                  <c:v>6.8902436737510911E-2</c:v>
                </c:pt>
                <c:pt idx="444">
                  <c:v>3.5974746491022669E-2</c:v>
                </c:pt>
                <c:pt idx="445">
                  <c:v>4.2171812534073885E-2</c:v>
                </c:pt>
                <c:pt idx="446">
                  <c:v>4.7440081929017913E-2</c:v>
                </c:pt>
                <c:pt idx="447">
                  <c:v>4.0484783168851485E-2</c:v>
                </c:pt>
                <c:pt idx="448">
                  <c:v>3.8470386399451481E-2</c:v>
                </c:pt>
                <c:pt idx="449">
                  <c:v>4.0812659856012255E-2</c:v>
                </c:pt>
                <c:pt idx="450">
                  <c:v>5.6637044819040736E-2</c:v>
                </c:pt>
                <c:pt idx="451">
                  <c:v>5.1422862748457157E-2</c:v>
                </c:pt>
                <c:pt idx="452">
                  <c:v>3.3938249119395192E-2</c:v>
                </c:pt>
                <c:pt idx="453">
                  <c:v>3.48874986572449E-2</c:v>
                </c:pt>
                <c:pt idx="454">
                  <c:v>5.0210775589650716E-2</c:v>
                </c:pt>
                <c:pt idx="455">
                  <c:v>6.7560049912899239E-2</c:v>
                </c:pt>
                <c:pt idx="456">
                  <c:v>6.8714231956449878E-2</c:v>
                </c:pt>
                <c:pt idx="457">
                  <c:v>6.118947406275E-2</c:v>
                </c:pt>
                <c:pt idx="458">
                  <c:v>4.6890361719190476E-2</c:v>
                </c:pt>
                <c:pt idx="459">
                  <c:v>3.4215441192475354E-2</c:v>
                </c:pt>
                <c:pt idx="460">
                  <c:v>5.0539621884359245E-2</c:v>
                </c:pt>
                <c:pt idx="461">
                  <c:v>4.2246153319469737E-2</c:v>
                </c:pt>
                <c:pt idx="462">
                  <c:v>3.9656211119136552E-2</c:v>
                </c:pt>
                <c:pt idx="463">
                  <c:v>4.6832801425669819E-2</c:v>
                </c:pt>
                <c:pt idx="464">
                  <c:v>5.1354633515951931E-2</c:v>
                </c:pt>
                <c:pt idx="465">
                  <c:v>4.0660875166208657E-2</c:v>
                </c:pt>
                <c:pt idx="466">
                  <c:v>6.3759314198655631E-2</c:v>
                </c:pt>
                <c:pt idx="467">
                  <c:v>6.0511166098256741E-2</c:v>
                </c:pt>
                <c:pt idx="468">
                  <c:v>5.2183799099217616E-2</c:v>
                </c:pt>
                <c:pt idx="469">
                  <c:v>4.717556132626044E-2</c:v>
                </c:pt>
                <c:pt idx="470">
                  <c:v>4.543395357004084E-2</c:v>
                </c:pt>
                <c:pt idx="471">
                  <c:v>6.6964956212836296E-2</c:v>
                </c:pt>
                <c:pt idx="472">
                  <c:v>4.7440281766397266E-2</c:v>
                </c:pt>
                <c:pt idx="473">
                  <c:v>5.3465948946838024E-2</c:v>
                </c:pt>
                <c:pt idx="474">
                  <c:v>6.4297858017962756E-2</c:v>
                </c:pt>
                <c:pt idx="475">
                  <c:v>6.3425594455730067E-2</c:v>
                </c:pt>
                <c:pt idx="476">
                  <c:v>4.4279723402296543E-2</c:v>
                </c:pt>
                <c:pt idx="477">
                  <c:v>6.1904617662015944E-2</c:v>
                </c:pt>
                <c:pt idx="478">
                  <c:v>3.5102564723422741E-2</c:v>
                </c:pt>
                <c:pt idx="479">
                  <c:v>6.4787183929120695E-2</c:v>
                </c:pt>
                <c:pt idx="480">
                  <c:v>6.9150144453750617E-2</c:v>
                </c:pt>
                <c:pt idx="481">
                  <c:v>5.021955838672746E-2</c:v>
                </c:pt>
                <c:pt idx="482">
                  <c:v>4.9435203761808759E-2</c:v>
                </c:pt>
                <c:pt idx="483">
                  <c:v>5.2503257500580665E-2</c:v>
                </c:pt>
                <c:pt idx="484">
                  <c:v>4.7217365764355174E-2</c:v>
                </c:pt>
                <c:pt idx="485">
                  <c:v>6.0108017683861925E-2</c:v>
                </c:pt>
                <c:pt idx="486">
                  <c:v>5.3331328009922296E-2</c:v>
                </c:pt>
                <c:pt idx="487">
                  <c:v>4.5553533832724161E-2</c:v>
                </c:pt>
                <c:pt idx="488">
                  <c:v>4.0492259201365739E-2</c:v>
                </c:pt>
                <c:pt idx="489">
                  <c:v>5.1016928658196903E-2</c:v>
                </c:pt>
                <c:pt idx="490">
                  <c:v>6.7726091863182153E-2</c:v>
                </c:pt>
                <c:pt idx="491">
                  <c:v>5.3934454125599607E-2</c:v>
                </c:pt>
                <c:pt idx="492">
                  <c:v>4.6328815753857652E-2</c:v>
                </c:pt>
                <c:pt idx="493">
                  <c:v>3.4273904395502028E-2</c:v>
                </c:pt>
                <c:pt idx="494">
                  <c:v>6.795626664824081E-2</c:v>
                </c:pt>
                <c:pt idx="495">
                  <c:v>5.377961846841027E-2</c:v>
                </c:pt>
                <c:pt idx="496">
                  <c:v>4.3585729595405152E-2</c:v>
                </c:pt>
                <c:pt idx="497">
                  <c:v>4.9532506758659819E-2</c:v>
                </c:pt>
                <c:pt idx="498">
                  <c:v>4.4491900303289672E-2</c:v>
                </c:pt>
                <c:pt idx="499">
                  <c:v>6.0431393375054515E-2</c:v>
                </c:pt>
                <c:pt idx="500">
                  <c:v>6.272946331275743E-2</c:v>
                </c:pt>
                <c:pt idx="501">
                  <c:v>4.637370286455221E-2</c:v>
                </c:pt>
                <c:pt idx="502">
                  <c:v>4.4095050054268746E-2</c:v>
                </c:pt>
                <c:pt idx="503">
                  <c:v>6.4122099152810211E-2</c:v>
                </c:pt>
                <c:pt idx="504">
                  <c:v>6.0723420931821412E-2</c:v>
                </c:pt>
                <c:pt idx="505">
                  <c:v>5.3352790230270099E-2</c:v>
                </c:pt>
                <c:pt idx="506">
                  <c:v>5.243775189307566E-2</c:v>
                </c:pt>
                <c:pt idx="507">
                  <c:v>4.2502580802391776E-2</c:v>
                </c:pt>
                <c:pt idx="508">
                  <c:v>4.2736794188294347E-2</c:v>
                </c:pt>
                <c:pt idx="509">
                  <c:v>5.9723129027556471E-2</c:v>
                </c:pt>
                <c:pt idx="510">
                  <c:v>5.3652381199599287E-2</c:v>
                </c:pt>
                <c:pt idx="511">
                  <c:v>5.4292215481544767E-2</c:v>
                </c:pt>
                <c:pt idx="512">
                  <c:v>3.6851811842608634E-2</c:v>
                </c:pt>
                <c:pt idx="513">
                  <c:v>3.7192619711486394E-2</c:v>
                </c:pt>
                <c:pt idx="514">
                  <c:v>3.4311925218886374E-2</c:v>
                </c:pt>
                <c:pt idx="515">
                  <c:v>4.9178557444886792E-2</c:v>
                </c:pt>
                <c:pt idx="516">
                  <c:v>3.6946762796856894E-2</c:v>
                </c:pt>
                <c:pt idx="517">
                  <c:v>5.6214447510886362E-2</c:v>
                </c:pt>
                <c:pt idx="518">
                  <c:v>4.8631602217896711E-2</c:v>
                </c:pt>
                <c:pt idx="519">
                  <c:v>6.5548253563464706E-2</c:v>
                </c:pt>
                <c:pt idx="520">
                  <c:v>5.3326880446935329E-2</c:v>
                </c:pt>
                <c:pt idx="521">
                  <c:v>3.1001915381186507E-2</c:v>
                </c:pt>
                <c:pt idx="522">
                  <c:v>6.2897414301650134E-2</c:v>
                </c:pt>
                <c:pt idx="523">
                  <c:v>7.0426923509936692E-2</c:v>
                </c:pt>
                <c:pt idx="524">
                  <c:v>5.9660339500662442E-2</c:v>
                </c:pt>
                <c:pt idx="525">
                  <c:v>4.8027211974242298E-2</c:v>
                </c:pt>
                <c:pt idx="526">
                  <c:v>4.4667055743677797E-2</c:v>
                </c:pt>
                <c:pt idx="527">
                  <c:v>7.0049755678972231E-2</c:v>
                </c:pt>
                <c:pt idx="528">
                  <c:v>3.8645739363209086E-2</c:v>
                </c:pt>
                <c:pt idx="529">
                  <c:v>5.4089257522720958E-2</c:v>
                </c:pt>
                <c:pt idx="530">
                  <c:v>4.162249290280999E-2</c:v>
                </c:pt>
                <c:pt idx="531">
                  <c:v>6.1257956010308284E-2</c:v>
                </c:pt>
                <c:pt idx="532">
                  <c:v>4.3311669726161531E-2</c:v>
                </c:pt>
                <c:pt idx="533">
                  <c:v>5.3267342892682229E-2</c:v>
                </c:pt>
                <c:pt idx="534">
                  <c:v>4.9104687888372425E-2</c:v>
                </c:pt>
                <c:pt idx="535">
                  <c:v>5.4741469799282447E-2</c:v>
                </c:pt>
                <c:pt idx="536">
                  <c:v>4.725509037857395E-2</c:v>
                </c:pt>
                <c:pt idx="537">
                  <c:v>4.554952250822214E-2</c:v>
                </c:pt>
                <c:pt idx="538">
                  <c:v>5.6840251747158343E-2</c:v>
                </c:pt>
                <c:pt idx="539">
                  <c:v>5.3597492093978238E-2</c:v>
                </c:pt>
                <c:pt idx="540">
                  <c:v>5.6768015780970876E-2</c:v>
                </c:pt>
                <c:pt idx="541">
                  <c:v>5.842628590127695E-2</c:v>
                </c:pt>
                <c:pt idx="542">
                  <c:v>3.8287931757045812E-2</c:v>
                </c:pt>
                <c:pt idx="543">
                  <c:v>6.2485947803828185E-2</c:v>
                </c:pt>
                <c:pt idx="544">
                  <c:v>3.6090360663164532E-2</c:v>
                </c:pt>
                <c:pt idx="545">
                  <c:v>5.859382250783772E-2</c:v>
                </c:pt>
                <c:pt idx="546">
                  <c:v>5.9775581063067976E-2</c:v>
                </c:pt>
                <c:pt idx="547">
                  <c:v>5.6784658802241178E-2</c:v>
                </c:pt>
                <c:pt idx="548">
                  <c:v>6.4522756088414901E-2</c:v>
                </c:pt>
                <c:pt idx="549">
                  <c:v>6.2759902817610985E-2</c:v>
                </c:pt>
                <c:pt idx="550">
                  <c:v>3.2629541654468831E-2</c:v>
                </c:pt>
                <c:pt idx="551">
                  <c:v>4.6577326238555053E-2</c:v>
                </c:pt>
                <c:pt idx="552">
                  <c:v>4.4941747046897206E-2</c:v>
                </c:pt>
                <c:pt idx="553">
                  <c:v>5.5969874700456286E-2</c:v>
                </c:pt>
                <c:pt idx="554">
                  <c:v>5.0416158655280201E-2</c:v>
                </c:pt>
                <c:pt idx="555">
                  <c:v>4.9983449028642074E-2</c:v>
                </c:pt>
                <c:pt idx="556">
                  <c:v>4.7580386418305171E-2</c:v>
                </c:pt>
                <c:pt idx="557">
                  <c:v>4.8173776853228378E-2</c:v>
                </c:pt>
                <c:pt idx="558">
                  <c:v>4.4242103241991258E-2</c:v>
                </c:pt>
                <c:pt idx="559">
                  <c:v>4.8931857579901261E-2</c:v>
                </c:pt>
                <c:pt idx="560">
                  <c:v>3.5038644290697432E-2</c:v>
                </c:pt>
                <c:pt idx="561">
                  <c:v>4.8686047877167515E-2</c:v>
                </c:pt>
                <c:pt idx="562">
                  <c:v>5.2111698771570354E-2</c:v>
                </c:pt>
                <c:pt idx="563">
                  <c:v>4.6432387512518492E-2</c:v>
                </c:pt>
                <c:pt idx="564">
                  <c:v>4.0630810249941807E-2</c:v>
                </c:pt>
                <c:pt idx="565">
                  <c:v>5.4568387455185038E-2</c:v>
                </c:pt>
                <c:pt idx="566">
                  <c:v>5.2908991573520026E-2</c:v>
                </c:pt>
                <c:pt idx="567">
                  <c:v>4.9442535354265377E-2</c:v>
                </c:pt>
                <c:pt idx="568">
                  <c:v>4.1966640444455902E-2</c:v>
                </c:pt>
                <c:pt idx="569">
                  <c:v>7.0052017715312054E-2</c:v>
                </c:pt>
                <c:pt idx="570">
                  <c:v>4.9201705577363544E-2</c:v>
                </c:pt>
                <c:pt idx="571">
                  <c:v>5.6176842757672776E-2</c:v>
                </c:pt>
                <c:pt idx="572">
                  <c:v>5.6381784337330432E-2</c:v>
                </c:pt>
                <c:pt idx="573">
                  <c:v>4.2969579802874212E-2</c:v>
                </c:pt>
                <c:pt idx="574">
                  <c:v>4.5219145597877326E-2</c:v>
                </c:pt>
                <c:pt idx="575">
                  <c:v>4.9349457163587726E-2</c:v>
                </c:pt>
                <c:pt idx="576">
                  <c:v>3.3572603234444519E-2</c:v>
                </c:pt>
                <c:pt idx="577">
                  <c:v>4.7138076095587414E-2</c:v>
                </c:pt>
                <c:pt idx="578">
                  <c:v>4.3630709077982451E-2</c:v>
                </c:pt>
                <c:pt idx="579">
                  <c:v>6.0072822962189673E-2</c:v>
                </c:pt>
                <c:pt idx="580">
                  <c:v>3.5761238207709767E-2</c:v>
                </c:pt>
                <c:pt idx="581">
                  <c:v>6.3481582416329396E-2</c:v>
                </c:pt>
                <c:pt idx="582">
                  <c:v>6.6594894214480532E-2</c:v>
                </c:pt>
                <c:pt idx="583">
                  <c:v>6.4702054401710896E-2</c:v>
                </c:pt>
                <c:pt idx="584">
                  <c:v>5.951665657578202E-2</c:v>
                </c:pt>
                <c:pt idx="585">
                  <c:v>5.5733719415292052E-2</c:v>
                </c:pt>
                <c:pt idx="586">
                  <c:v>5.1738234755737827E-2</c:v>
                </c:pt>
                <c:pt idx="587">
                  <c:v>4.5113866219036174E-2</c:v>
                </c:pt>
                <c:pt idx="588">
                  <c:v>3.4376863772728014E-2</c:v>
                </c:pt>
                <c:pt idx="589">
                  <c:v>4.4599042343062806E-2</c:v>
                </c:pt>
                <c:pt idx="590">
                  <c:v>4.5919385973904013E-2</c:v>
                </c:pt>
                <c:pt idx="591">
                  <c:v>6.2336971041674238E-2</c:v>
                </c:pt>
                <c:pt idx="592">
                  <c:v>5.2352875670657002E-2</c:v>
                </c:pt>
                <c:pt idx="593">
                  <c:v>5.2006612858917833E-2</c:v>
                </c:pt>
                <c:pt idx="594">
                  <c:v>6.2555065205010835E-2</c:v>
                </c:pt>
                <c:pt idx="595">
                  <c:v>6.0238523480955972E-2</c:v>
                </c:pt>
                <c:pt idx="596">
                  <c:v>4.2538472158876628E-2</c:v>
                </c:pt>
                <c:pt idx="597">
                  <c:v>5.3207052189895118E-2</c:v>
                </c:pt>
                <c:pt idx="598">
                  <c:v>3.8705467890919838E-2</c:v>
                </c:pt>
                <c:pt idx="599">
                  <c:v>5.7878184253604414E-2</c:v>
                </c:pt>
                <c:pt idx="600">
                  <c:v>3.6611612793897026E-2</c:v>
                </c:pt>
                <c:pt idx="601">
                  <c:v>5.1775775686468503E-2</c:v>
                </c:pt>
                <c:pt idx="602">
                  <c:v>4.9798208544574493E-2</c:v>
                </c:pt>
                <c:pt idx="603">
                  <c:v>5.9127524228689818E-2</c:v>
                </c:pt>
                <c:pt idx="604">
                  <c:v>3.4674239076008868E-2</c:v>
                </c:pt>
                <c:pt idx="605">
                  <c:v>5.310874732751554E-2</c:v>
                </c:pt>
                <c:pt idx="606">
                  <c:v>3.7903607757770047E-2</c:v>
                </c:pt>
                <c:pt idx="607">
                  <c:v>5.0372425027455051E-2</c:v>
                </c:pt>
                <c:pt idx="608">
                  <c:v>6.0597082691166426E-2</c:v>
                </c:pt>
                <c:pt idx="609">
                  <c:v>4.7120344689050325E-2</c:v>
                </c:pt>
                <c:pt idx="610">
                  <c:v>5.4973826041453691E-2</c:v>
                </c:pt>
                <c:pt idx="611">
                  <c:v>3.7963803255268165E-2</c:v>
                </c:pt>
                <c:pt idx="612">
                  <c:v>5.9195132669274904E-2</c:v>
                </c:pt>
                <c:pt idx="613">
                  <c:v>4.8062904100949704E-2</c:v>
                </c:pt>
                <c:pt idx="614">
                  <c:v>5.7017613136643525E-2</c:v>
                </c:pt>
                <c:pt idx="615">
                  <c:v>3.8522733389168111E-2</c:v>
                </c:pt>
                <c:pt idx="616">
                  <c:v>4.4182599474629165E-2</c:v>
                </c:pt>
                <c:pt idx="617">
                  <c:v>7.1305057147567408E-2</c:v>
                </c:pt>
                <c:pt idx="618">
                  <c:v>3.6620860082111413E-2</c:v>
                </c:pt>
                <c:pt idx="619">
                  <c:v>4.2424363530593243E-2</c:v>
                </c:pt>
                <c:pt idx="620">
                  <c:v>4.5426612189763335E-2</c:v>
                </c:pt>
                <c:pt idx="621">
                  <c:v>6.060037711334449E-2</c:v>
                </c:pt>
                <c:pt idx="622">
                  <c:v>6.2787385139268653E-2</c:v>
                </c:pt>
                <c:pt idx="623">
                  <c:v>6.3241937527746206E-2</c:v>
                </c:pt>
                <c:pt idx="624">
                  <c:v>3.820963721802486E-2</c:v>
                </c:pt>
                <c:pt idx="625">
                  <c:v>5.6493359421918833E-2</c:v>
                </c:pt>
                <c:pt idx="626">
                  <c:v>5.5664226840278302E-2</c:v>
                </c:pt>
                <c:pt idx="627">
                  <c:v>5.312596560396679E-2</c:v>
                </c:pt>
                <c:pt idx="628">
                  <c:v>4.2611823478482788E-2</c:v>
                </c:pt>
                <c:pt idx="629">
                  <c:v>4.1733273451516006E-2</c:v>
                </c:pt>
                <c:pt idx="630">
                  <c:v>5.1862563088385723E-2</c:v>
                </c:pt>
                <c:pt idx="631">
                  <c:v>5.0403115308009019E-2</c:v>
                </c:pt>
                <c:pt idx="632">
                  <c:v>6.4704093758127176E-2</c:v>
                </c:pt>
                <c:pt idx="633">
                  <c:v>4.718729365997329E-2</c:v>
                </c:pt>
                <c:pt idx="634">
                  <c:v>5.0620172606767336E-2</c:v>
                </c:pt>
                <c:pt idx="635">
                  <c:v>4.37878722308363E-2</c:v>
                </c:pt>
                <c:pt idx="636">
                  <c:v>6.2000580532229427E-2</c:v>
                </c:pt>
                <c:pt idx="637">
                  <c:v>5.375300822558754E-2</c:v>
                </c:pt>
                <c:pt idx="638">
                  <c:v>6.1658320584280342E-2</c:v>
                </c:pt>
                <c:pt idx="639">
                  <c:v>4.6291937002661536E-2</c:v>
                </c:pt>
                <c:pt idx="640">
                  <c:v>4.0966795337478226E-2</c:v>
                </c:pt>
                <c:pt idx="641">
                  <c:v>6.5410981147850711E-2</c:v>
                </c:pt>
                <c:pt idx="642">
                  <c:v>5.234179981598408E-2</c:v>
                </c:pt>
                <c:pt idx="643">
                  <c:v>6.5024428736504908E-2</c:v>
                </c:pt>
                <c:pt idx="644">
                  <c:v>5.0408499933012586E-2</c:v>
                </c:pt>
                <c:pt idx="645">
                  <c:v>4.4737184312476218E-2</c:v>
                </c:pt>
                <c:pt idx="646">
                  <c:v>4.3594582781121868E-2</c:v>
                </c:pt>
                <c:pt idx="647">
                  <c:v>3.9880587642243837E-2</c:v>
                </c:pt>
                <c:pt idx="648">
                  <c:v>4.9720082528777861E-2</c:v>
                </c:pt>
                <c:pt idx="649">
                  <c:v>4.2791303359461977E-2</c:v>
                </c:pt>
                <c:pt idx="650">
                  <c:v>5.0754745261346726E-2</c:v>
                </c:pt>
                <c:pt idx="651">
                  <c:v>5.1262581438785051E-2</c:v>
                </c:pt>
                <c:pt idx="652">
                  <c:v>4.6865928984855747E-2</c:v>
                </c:pt>
                <c:pt idx="653">
                  <c:v>5.773285515115742E-2</c:v>
                </c:pt>
                <c:pt idx="654">
                  <c:v>3.3410183999819036E-2</c:v>
                </c:pt>
                <c:pt idx="655">
                  <c:v>4.3271347267172265E-2</c:v>
                </c:pt>
                <c:pt idx="656">
                  <c:v>5.1417631414739595E-2</c:v>
                </c:pt>
                <c:pt idx="657">
                  <c:v>4.4472367250095769E-2</c:v>
                </c:pt>
                <c:pt idx="658">
                  <c:v>5.6039301840797834E-2</c:v>
                </c:pt>
                <c:pt idx="659">
                  <c:v>6.2198012887437974E-2</c:v>
                </c:pt>
                <c:pt idx="660">
                  <c:v>3.728088476193641E-2</c:v>
                </c:pt>
                <c:pt idx="661">
                  <c:v>4.9064359018226533E-2</c:v>
                </c:pt>
                <c:pt idx="662">
                  <c:v>4.1616389960861103E-2</c:v>
                </c:pt>
                <c:pt idx="663">
                  <c:v>5.4421926850664132E-2</c:v>
                </c:pt>
                <c:pt idx="664">
                  <c:v>5.4099971177211804E-2</c:v>
                </c:pt>
                <c:pt idx="665">
                  <c:v>4.4047230474196016E-2</c:v>
                </c:pt>
                <c:pt idx="666">
                  <c:v>4.6482789917713735E-2</c:v>
                </c:pt>
                <c:pt idx="667">
                  <c:v>3.9513791927825538E-2</c:v>
                </c:pt>
                <c:pt idx="668">
                  <c:v>6.4001086708185814E-2</c:v>
                </c:pt>
                <c:pt idx="669">
                  <c:v>5.1692259151903036E-2</c:v>
                </c:pt>
                <c:pt idx="670">
                  <c:v>5.9810407739120622E-2</c:v>
                </c:pt>
                <c:pt idx="671">
                  <c:v>5.0672365962391719E-2</c:v>
                </c:pt>
                <c:pt idx="672">
                  <c:v>4.3558379925151144E-2</c:v>
                </c:pt>
                <c:pt idx="673">
                  <c:v>4.1445412199996284E-2</c:v>
                </c:pt>
                <c:pt idx="674">
                  <c:v>4.3021341894312115E-2</c:v>
                </c:pt>
                <c:pt idx="675">
                  <c:v>5.4565215092821751E-2</c:v>
                </c:pt>
                <c:pt idx="676">
                  <c:v>5.6255178917947929E-2</c:v>
                </c:pt>
                <c:pt idx="677">
                  <c:v>5.2440769063277055E-2</c:v>
                </c:pt>
                <c:pt idx="678">
                  <c:v>4.1569137622031037E-2</c:v>
                </c:pt>
                <c:pt idx="679">
                  <c:v>5.548476186045756E-2</c:v>
                </c:pt>
                <c:pt idx="680">
                  <c:v>5.154693669424236E-2</c:v>
                </c:pt>
                <c:pt idx="681">
                  <c:v>4.1157208094646028E-2</c:v>
                </c:pt>
                <c:pt idx="682">
                  <c:v>7.2249680368216773E-2</c:v>
                </c:pt>
                <c:pt idx="683">
                  <c:v>5.8475984727992078E-2</c:v>
                </c:pt>
                <c:pt idx="684">
                  <c:v>4.1162458596354194E-2</c:v>
                </c:pt>
                <c:pt idx="685">
                  <c:v>4.3697171060470601E-2</c:v>
                </c:pt>
                <c:pt idx="686">
                  <c:v>3.6861730785176627E-2</c:v>
                </c:pt>
                <c:pt idx="687">
                  <c:v>5.1784786794048271E-2</c:v>
                </c:pt>
                <c:pt idx="688">
                  <c:v>6.4444609215039195E-2</c:v>
                </c:pt>
                <c:pt idx="689">
                  <c:v>5.962965130345188E-2</c:v>
                </c:pt>
                <c:pt idx="690">
                  <c:v>5.731593147814032E-2</c:v>
                </c:pt>
                <c:pt idx="691">
                  <c:v>3.4962337210545646E-2</c:v>
                </c:pt>
                <c:pt idx="692">
                  <c:v>4.6238464592567016E-2</c:v>
                </c:pt>
                <c:pt idx="693">
                  <c:v>4.66232251816871E-2</c:v>
                </c:pt>
                <c:pt idx="694">
                  <c:v>4.8460638148790369E-2</c:v>
                </c:pt>
                <c:pt idx="695">
                  <c:v>6.314644788244328E-2</c:v>
                </c:pt>
                <c:pt idx="696">
                  <c:v>3.8577140838247349E-2</c:v>
                </c:pt>
                <c:pt idx="697">
                  <c:v>6.1903580099436882E-2</c:v>
                </c:pt>
                <c:pt idx="698">
                  <c:v>4.7374188782652371E-2</c:v>
                </c:pt>
                <c:pt idx="699">
                  <c:v>5.2292072793917829E-2</c:v>
                </c:pt>
                <c:pt idx="700">
                  <c:v>3.1438175289822658E-2</c:v>
                </c:pt>
                <c:pt idx="701">
                  <c:v>6.2856080505512252E-2</c:v>
                </c:pt>
                <c:pt idx="702">
                  <c:v>5.4644492965154168E-2</c:v>
                </c:pt>
                <c:pt idx="703">
                  <c:v>6.7706870406218492E-2</c:v>
                </c:pt>
                <c:pt idx="704">
                  <c:v>4.3023309706676387E-2</c:v>
                </c:pt>
                <c:pt idx="705">
                  <c:v>6.116153767455694E-2</c:v>
                </c:pt>
                <c:pt idx="706">
                  <c:v>5.4658016458678862E-2</c:v>
                </c:pt>
                <c:pt idx="707">
                  <c:v>6.2303113360514834E-2</c:v>
                </c:pt>
                <c:pt idx="708">
                  <c:v>4.6543740639097303E-2</c:v>
                </c:pt>
                <c:pt idx="709">
                  <c:v>3.9377648494079237E-2</c:v>
                </c:pt>
                <c:pt idx="710">
                  <c:v>3.6801799776107577E-2</c:v>
                </c:pt>
                <c:pt idx="711">
                  <c:v>5.5403063002024244E-2</c:v>
                </c:pt>
                <c:pt idx="712">
                  <c:v>5.7567636508497978E-2</c:v>
                </c:pt>
                <c:pt idx="713">
                  <c:v>5.695121767289138E-2</c:v>
                </c:pt>
                <c:pt idx="714">
                  <c:v>5.8733066859564323E-2</c:v>
                </c:pt>
                <c:pt idx="715">
                  <c:v>5.4242438837892128E-2</c:v>
                </c:pt>
                <c:pt idx="716">
                  <c:v>4.8813197731734911E-2</c:v>
                </c:pt>
                <c:pt idx="717">
                  <c:v>6.0145013083424653E-2</c:v>
                </c:pt>
                <c:pt idx="718">
                  <c:v>5.6976279935250292E-2</c:v>
                </c:pt>
                <c:pt idx="719">
                  <c:v>3.5954751869718096E-2</c:v>
                </c:pt>
                <c:pt idx="720">
                  <c:v>5.3557212798120313E-2</c:v>
                </c:pt>
                <c:pt idx="721">
                  <c:v>5.9105402663632248E-2</c:v>
                </c:pt>
                <c:pt idx="722">
                  <c:v>6.9559552353079701E-2</c:v>
                </c:pt>
                <c:pt idx="723">
                  <c:v>5.7832976014665555E-2</c:v>
                </c:pt>
                <c:pt idx="724">
                  <c:v>4.6060309700205221E-2</c:v>
                </c:pt>
                <c:pt idx="725">
                  <c:v>4.4811870643026296E-2</c:v>
                </c:pt>
                <c:pt idx="726">
                  <c:v>4.6332788889369328E-2</c:v>
                </c:pt>
                <c:pt idx="727">
                  <c:v>4.4735763743058987E-2</c:v>
                </c:pt>
                <c:pt idx="728">
                  <c:v>4.383084271280354E-2</c:v>
                </c:pt>
                <c:pt idx="729">
                  <c:v>5.4860829985127257E-2</c:v>
                </c:pt>
                <c:pt idx="730">
                  <c:v>5.6015356731756435E-2</c:v>
                </c:pt>
                <c:pt idx="731">
                  <c:v>4.7190672555935481E-2</c:v>
                </c:pt>
                <c:pt idx="732">
                  <c:v>5.9405654679873521E-2</c:v>
                </c:pt>
                <c:pt idx="733">
                  <c:v>6.0034609181966542E-2</c:v>
                </c:pt>
                <c:pt idx="734">
                  <c:v>5.1607743620995822E-2</c:v>
                </c:pt>
                <c:pt idx="735">
                  <c:v>4.9859510888961296E-2</c:v>
                </c:pt>
                <c:pt idx="736">
                  <c:v>5.4382295481878645E-2</c:v>
                </c:pt>
                <c:pt idx="737">
                  <c:v>5.9539774949708663E-2</c:v>
                </c:pt>
                <c:pt idx="738">
                  <c:v>3.6699156183588683E-2</c:v>
                </c:pt>
                <c:pt idx="739">
                  <c:v>7.2777772640870791E-2</c:v>
                </c:pt>
                <c:pt idx="740">
                  <c:v>4.9858285943030406E-2</c:v>
                </c:pt>
                <c:pt idx="741">
                  <c:v>4.5959632051846867E-2</c:v>
                </c:pt>
                <c:pt idx="742">
                  <c:v>6.9390247122159132E-2</c:v>
                </c:pt>
                <c:pt idx="743">
                  <c:v>4.1101838550555193E-2</c:v>
                </c:pt>
                <c:pt idx="744">
                  <c:v>4.7573541361375433E-2</c:v>
                </c:pt>
                <c:pt idx="745">
                  <c:v>6.4564642389755539E-2</c:v>
                </c:pt>
                <c:pt idx="746">
                  <c:v>5.2709235652011563E-2</c:v>
                </c:pt>
                <c:pt idx="747">
                  <c:v>5.2375296898402604E-2</c:v>
                </c:pt>
                <c:pt idx="748">
                  <c:v>4.8946147772246651E-2</c:v>
                </c:pt>
                <c:pt idx="749">
                  <c:v>7.0167877616910151E-2</c:v>
                </c:pt>
                <c:pt idx="750">
                  <c:v>6.9183105882928003E-2</c:v>
                </c:pt>
                <c:pt idx="751">
                  <c:v>5.4982735667812449E-2</c:v>
                </c:pt>
                <c:pt idx="752">
                  <c:v>4.3110939895349865E-2</c:v>
                </c:pt>
                <c:pt idx="753">
                  <c:v>7.3717492699448092E-2</c:v>
                </c:pt>
                <c:pt idx="754">
                  <c:v>7.3389135740436692E-2</c:v>
                </c:pt>
                <c:pt idx="755">
                  <c:v>5.2495873106535695E-2</c:v>
                </c:pt>
                <c:pt idx="756">
                  <c:v>5.5631346907402582E-2</c:v>
                </c:pt>
                <c:pt idx="757">
                  <c:v>5.197238930154497E-2</c:v>
                </c:pt>
                <c:pt idx="758">
                  <c:v>6.0495647670514074E-2</c:v>
                </c:pt>
                <c:pt idx="759">
                  <c:v>4.0825533741618618E-2</c:v>
                </c:pt>
                <c:pt idx="760">
                  <c:v>5.0174217318224829E-2</c:v>
                </c:pt>
                <c:pt idx="761">
                  <c:v>4.7470318473296177E-2</c:v>
                </c:pt>
                <c:pt idx="762">
                  <c:v>6.3839701720312281E-2</c:v>
                </c:pt>
                <c:pt idx="763">
                  <c:v>3.5304135121604678E-2</c:v>
                </c:pt>
                <c:pt idx="764">
                  <c:v>5.217200454765103E-2</c:v>
                </c:pt>
                <c:pt idx="765">
                  <c:v>4.1713486836816638E-2</c:v>
                </c:pt>
                <c:pt idx="766">
                  <c:v>5.3337084492920753E-2</c:v>
                </c:pt>
                <c:pt idx="767">
                  <c:v>5.8282362835113163E-2</c:v>
                </c:pt>
                <c:pt idx="768">
                  <c:v>6.5482002788690707E-2</c:v>
                </c:pt>
                <c:pt idx="769">
                  <c:v>3.56419733642932E-2</c:v>
                </c:pt>
                <c:pt idx="770">
                  <c:v>4.6343537780886193E-2</c:v>
                </c:pt>
                <c:pt idx="771">
                  <c:v>4.776005347348028E-2</c:v>
                </c:pt>
                <c:pt idx="772">
                  <c:v>5.7655242804762127E-2</c:v>
                </c:pt>
                <c:pt idx="773">
                  <c:v>6.2664360226521859E-2</c:v>
                </c:pt>
                <c:pt idx="774">
                  <c:v>6.0352267606079431E-2</c:v>
                </c:pt>
                <c:pt idx="775">
                  <c:v>5.6621722884424699E-2</c:v>
                </c:pt>
                <c:pt idx="776">
                  <c:v>5.0749091833146513E-2</c:v>
                </c:pt>
                <c:pt idx="777">
                  <c:v>5.6569396940383432E-2</c:v>
                </c:pt>
                <c:pt idx="778">
                  <c:v>5.094647191311058E-2</c:v>
                </c:pt>
                <c:pt idx="779">
                  <c:v>4.2652437870568161E-2</c:v>
                </c:pt>
                <c:pt idx="780">
                  <c:v>6.1766515001572549E-2</c:v>
                </c:pt>
                <c:pt idx="781">
                  <c:v>4.9748295000198506E-2</c:v>
                </c:pt>
                <c:pt idx="782">
                  <c:v>5.2749398729659225E-2</c:v>
                </c:pt>
                <c:pt idx="783">
                  <c:v>5.3454046173382813E-2</c:v>
                </c:pt>
                <c:pt idx="784">
                  <c:v>4.5104522852845101E-2</c:v>
                </c:pt>
                <c:pt idx="785">
                  <c:v>7.2611320076545152E-2</c:v>
                </c:pt>
                <c:pt idx="786">
                  <c:v>5.0924607155575959E-2</c:v>
                </c:pt>
                <c:pt idx="787">
                  <c:v>4.313753352179435E-2</c:v>
                </c:pt>
                <c:pt idx="788">
                  <c:v>4.5274462475975885E-2</c:v>
                </c:pt>
                <c:pt idx="789">
                  <c:v>4.4463552395504397E-2</c:v>
                </c:pt>
                <c:pt idx="790">
                  <c:v>4.3798475473826384E-2</c:v>
                </c:pt>
                <c:pt idx="791">
                  <c:v>4.4883297575284059E-2</c:v>
                </c:pt>
                <c:pt idx="792">
                  <c:v>5.5272317248569042E-2</c:v>
                </c:pt>
                <c:pt idx="793">
                  <c:v>5.843125104662962E-2</c:v>
                </c:pt>
                <c:pt idx="794">
                  <c:v>6.5702302819277539E-2</c:v>
                </c:pt>
                <c:pt idx="795">
                  <c:v>5.0143398211947202E-2</c:v>
                </c:pt>
                <c:pt idx="796">
                  <c:v>4.302971997968507E-2</c:v>
                </c:pt>
                <c:pt idx="797">
                  <c:v>3.7363436337426031E-2</c:v>
                </c:pt>
                <c:pt idx="798">
                  <c:v>6.3474596319045312E-2</c:v>
                </c:pt>
                <c:pt idx="799">
                  <c:v>5.1498207544740632E-2</c:v>
                </c:pt>
                <c:pt idx="800">
                  <c:v>5.0374990729549152E-2</c:v>
                </c:pt>
                <c:pt idx="801">
                  <c:v>4.3388045938818454E-2</c:v>
                </c:pt>
                <c:pt idx="802">
                  <c:v>5.7618611633487332E-2</c:v>
                </c:pt>
                <c:pt idx="803">
                  <c:v>6.0108041630091959E-2</c:v>
                </c:pt>
                <c:pt idx="804">
                  <c:v>4.6032408118125485E-2</c:v>
                </c:pt>
                <c:pt idx="805">
                  <c:v>4.5878514035238294E-2</c:v>
                </c:pt>
                <c:pt idx="806">
                  <c:v>5.0984151325006583E-2</c:v>
                </c:pt>
                <c:pt idx="807">
                  <c:v>3.5419298498538698E-2</c:v>
                </c:pt>
                <c:pt idx="808">
                  <c:v>4.31302683883358E-2</c:v>
                </c:pt>
                <c:pt idx="809">
                  <c:v>5.3778274508441373E-2</c:v>
                </c:pt>
                <c:pt idx="810">
                  <c:v>3.8935750058840465E-2</c:v>
                </c:pt>
                <c:pt idx="811">
                  <c:v>6.1867324311140399E-2</c:v>
                </c:pt>
                <c:pt idx="812">
                  <c:v>4.1894214261999477E-2</c:v>
                </c:pt>
                <c:pt idx="813">
                  <c:v>4.8144960049407479E-2</c:v>
                </c:pt>
                <c:pt idx="814">
                  <c:v>5.1352540091343692E-2</c:v>
                </c:pt>
                <c:pt idx="815">
                  <c:v>5.8420900252282415E-2</c:v>
                </c:pt>
                <c:pt idx="816">
                  <c:v>5.9710734841776969E-2</c:v>
                </c:pt>
                <c:pt idx="817">
                  <c:v>5.1567560276733128E-2</c:v>
                </c:pt>
                <c:pt idx="818">
                  <c:v>6.4688943196906434E-2</c:v>
                </c:pt>
                <c:pt idx="819">
                  <c:v>5.2359075820851947E-2</c:v>
                </c:pt>
                <c:pt idx="820">
                  <c:v>4.3620269141062193E-2</c:v>
                </c:pt>
                <c:pt idx="821">
                  <c:v>6.8537664348310157E-2</c:v>
                </c:pt>
                <c:pt idx="822">
                  <c:v>5.8038525440393736E-2</c:v>
                </c:pt>
                <c:pt idx="823">
                  <c:v>6.0304995355410132E-2</c:v>
                </c:pt>
                <c:pt idx="824">
                  <c:v>4.4757023257447688E-2</c:v>
                </c:pt>
                <c:pt idx="825">
                  <c:v>3.5788887167192501E-2</c:v>
                </c:pt>
                <c:pt idx="826">
                  <c:v>5.2983139016600872E-2</c:v>
                </c:pt>
                <c:pt idx="827">
                  <c:v>5.7131697527410361E-2</c:v>
                </c:pt>
                <c:pt idx="828">
                  <c:v>4.071437906896487E-2</c:v>
                </c:pt>
                <c:pt idx="829">
                  <c:v>5.0353846615316472E-2</c:v>
                </c:pt>
                <c:pt idx="830">
                  <c:v>4.7907761355369449E-2</c:v>
                </c:pt>
                <c:pt idx="831">
                  <c:v>6.7526812521062712E-2</c:v>
                </c:pt>
                <c:pt idx="832">
                  <c:v>3.8673570806693966E-2</c:v>
                </c:pt>
                <c:pt idx="833">
                  <c:v>4.3678425941621996E-2</c:v>
                </c:pt>
                <c:pt idx="834">
                  <c:v>5.1424553046517149E-2</c:v>
                </c:pt>
                <c:pt idx="835">
                  <c:v>4.5024112350904845E-2</c:v>
                </c:pt>
                <c:pt idx="836">
                  <c:v>5.6673970581846651E-2</c:v>
                </c:pt>
                <c:pt idx="837">
                  <c:v>3.860940039171027E-2</c:v>
                </c:pt>
                <c:pt idx="838">
                  <c:v>5.014346572205805E-2</c:v>
                </c:pt>
                <c:pt idx="839">
                  <c:v>4.9399798178151225E-2</c:v>
                </c:pt>
                <c:pt idx="840">
                  <c:v>4.7619386670309474E-2</c:v>
                </c:pt>
                <c:pt idx="841">
                  <c:v>3.9804782669215312E-2</c:v>
                </c:pt>
                <c:pt idx="842">
                  <c:v>6.0758064837264911E-2</c:v>
                </c:pt>
                <c:pt idx="843">
                  <c:v>5.4902822576156723E-2</c:v>
                </c:pt>
                <c:pt idx="844">
                  <c:v>3.6708548962105618E-2</c:v>
                </c:pt>
                <c:pt idx="845">
                  <c:v>6.0268111590792213E-2</c:v>
                </c:pt>
                <c:pt idx="846">
                  <c:v>4.8325433230340185E-2</c:v>
                </c:pt>
                <c:pt idx="847">
                  <c:v>5.6746491294205573E-2</c:v>
                </c:pt>
                <c:pt idx="848">
                  <c:v>5.0183978066743018E-2</c:v>
                </c:pt>
                <c:pt idx="849">
                  <c:v>5.8967971778295908E-2</c:v>
                </c:pt>
                <c:pt idx="850">
                  <c:v>5.7961254413126669E-2</c:v>
                </c:pt>
                <c:pt idx="851">
                  <c:v>4.711400964969846E-2</c:v>
                </c:pt>
                <c:pt idx="852">
                  <c:v>6.5024509331884417E-2</c:v>
                </c:pt>
                <c:pt idx="853">
                  <c:v>6.1951376288106028E-2</c:v>
                </c:pt>
                <c:pt idx="854">
                  <c:v>4.5318725616729311E-2</c:v>
                </c:pt>
                <c:pt idx="855">
                  <c:v>4.9403733632844851E-2</c:v>
                </c:pt>
                <c:pt idx="856">
                  <c:v>6.0825540886039989E-2</c:v>
                </c:pt>
                <c:pt idx="857">
                  <c:v>6.1067451590920925E-2</c:v>
                </c:pt>
                <c:pt idx="858">
                  <c:v>5.5547745712475158E-2</c:v>
                </c:pt>
                <c:pt idx="859">
                  <c:v>5.4696965775604796E-2</c:v>
                </c:pt>
                <c:pt idx="860">
                  <c:v>3.3751446975245777E-2</c:v>
                </c:pt>
                <c:pt idx="861">
                  <c:v>4.1116866963804996E-2</c:v>
                </c:pt>
                <c:pt idx="862">
                  <c:v>5.794909298893694E-2</c:v>
                </c:pt>
                <c:pt idx="863">
                  <c:v>3.8464064651583189E-2</c:v>
                </c:pt>
                <c:pt idx="864">
                  <c:v>5.4055474474291626E-2</c:v>
                </c:pt>
                <c:pt idx="865">
                  <c:v>3.4574527076652095E-2</c:v>
                </c:pt>
                <c:pt idx="866">
                  <c:v>5.6242668706152701E-2</c:v>
                </c:pt>
                <c:pt idx="867">
                  <c:v>3.788782099176425E-2</c:v>
                </c:pt>
                <c:pt idx="868">
                  <c:v>5.3519008874715251E-2</c:v>
                </c:pt>
                <c:pt idx="869">
                  <c:v>5.0185567769606101E-2</c:v>
                </c:pt>
                <c:pt idx="870">
                  <c:v>5.3235044573376883E-2</c:v>
                </c:pt>
                <c:pt idx="871">
                  <c:v>3.9978917665613109E-2</c:v>
                </c:pt>
                <c:pt idx="872">
                  <c:v>4.7612509980330842E-2</c:v>
                </c:pt>
                <c:pt idx="873">
                  <c:v>3.5433787506499385E-2</c:v>
                </c:pt>
                <c:pt idx="874">
                  <c:v>6.8470196632493319E-2</c:v>
                </c:pt>
                <c:pt idx="875">
                  <c:v>5.8586482882462057E-2</c:v>
                </c:pt>
                <c:pt idx="876">
                  <c:v>7.2027599358218924E-2</c:v>
                </c:pt>
                <c:pt idx="877">
                  <c:v>4.851110518903172E-2</c:v>
                </c:pt>
                <c:pt idx="878">
                  <c:v>4.8307107158332904E-2</c:v>
                </c:pt>
                <c:pt idx="879">
                  <c:v>5.8324960624556721E-2</c:v>
                </c:pt>
                <c:pt idx="880">
                  <c:v>6.15523270501439E-2</c:v>
                </c:pt>
                <c:pt idx="881">
                  <c:v>5.0023580634049054E-2</c:v>
                </c:pt>
                <c:pt idx="882">
                  <c:v>7.1198129621130452E-2</c:v>
                </c:pt>
                <c:pt idx="883">
                  <c:v>4.9962813085732437E-2</c:v>
                </c:pt>
                <c:pt idx="884">
                  <c:v>5.3557042708491265E-2</c:v>
                </c:pt>
                <c:pt idx="885">
                  <c:v>5.0696823353463608E-2</c:v>
                </c:pt>
                <c:pt idx="886">
                  <c:v>5.5974085455983077E-2</c:v>
                </c:pt>
                <c:pt idx="887">
                  <c:v>5.0590020404875952E-2</c:v>
                </c:pt>
                <c:pt idx="888">
                  <c:v>3.8829379880173348E-2</c:v>
                </c:pt>
                <c:pt idx="889">
                  <c:v>6.0275501761806738E-2</c:v>
                </c:pt>
                <c:pt idx="890">
                  <c:v>7.3018044439873281E-2</c:v>
                </c:pt>
                <c:pt idx="891">
                  <c:v>4.8710117814805484E-2</c:v>
                </c:pt>
                <c:pt idx="892">
                  <c:v>5.942583639828955E-2</c:v>
                </c:pt>
                <c:pt idx="893">
                  <c:v>6.4748309154895017E-2</c:v>
                </c:pt>
                <c:pt idx="894">
                  <c:v>7.3865677762167681E-2</c:v>
                </c:pt>
                <c:pt idx="895">
                  <c:v>3.6131825437845815E-2</c:v>
                </c:pt>
                <c:pt idx="896">
                  <c:v>5.5471838637462662E-2</c:v>
                </c:pt>
                <c:pt idx="897">
                  <c:v>5.9230444342206104E-2</c:v>
                </c:pt>
                <c:pt idx="898">
                  <c:v>3.615737487701106E-2</c:v>
                </c:pt>
                <c:pt idx="899">
                  <c:v>4.0458579879830057E-2</c:v>
                </c:pt>
                <c:pt idx="900">
                  <c:v>5.7433329088854963E-2</c:v>
                </c:pt>
                <c:pt idx="901">
                  <c:v>5.4473019961721228E-2</c:v>
                </c:pt>
                <c:pt idx="902">
                  <c:v>5.6484440823511756E-2</c:v>
                </c:pt>
                <c:pt idx="903">
                  <c:v>3.3624784138198673E-2</c:v>
                </c:pt>
                <c:pt idx="904">
                  <c:v>5.4202792644752737E-2</c:v>
                </c:pt>
                <c:pt idx="905">
                  <c:v>5.2297051696358593E-2</c:v>
                </c:pt>
                <c:pt idx="906">
                  <c:v>3.9690000673129736E-2</c:v>
                </c:pt>
                <c:pt idx="907">
                  <c:v>3.2211556683551669E-2</c:v>
                </c:pt>
                <c:pt idx="908">
                  <c:v>4.5411574723967951E-2</c:v>
                </c:pt>
                <c:pt idx="909">
                  <c:v>6.7820087507962118E-2</c:v>
                </c:pt>
                <c:pt idx="910">
                  <c:v>5.9311440011612135E-2</c:v>
                </c:pt>
                <c:pt idx="911">
                  <c:v>6.4787720306627328E-2</c:v>
                </c:pt>
                <c:pt idx="912">
                  <c:v>6.3983313847154943E-2</c:v>
                </c:pt>
                <c:pt idx="913">
                  <c:v>6.0012030427558927E-2</c:v>
                </c:pt>
                <c:pt idx="914">
                  <c:v>5.1553233485772343E-2</c:v>
                </c:pt>
                <c:pt idx="915">
                  <c:v>6.5350058266518074E-2</c:v>
                </c:pt>
                <c:pt idx="916">
                  <c:v>5.7327715755109865E-2</c:v>
                </c:pt>
                <c:pt idx="917">
                  <c:v>4.1193489591367954E-2</c:v>
                </c:pt>
                <c:pt idx="918">
                  <c:v>3.8435112049639411E-2</c:v>
                </c:pt>
                <c:pt idx="919">
                  <c:v>4.1621595782830138E-2</c:v>
                </c:pt>
                <c:pt idx="920">
                  <c:v>5.4383391588457966E-2</c:v>
                </c:pt>
                <c:pt idx="921">
                  <c:v>4.262000134393161E-2</c:v>
                </c:pt>
                <c:pt idx="922">
                  <c:v>6.1618436536321985E-2</c:v>
                </c:pt>
                <c:pt idx="923">
                  <c:v>5.4584557359730557E-2</c:v>
                </c:pt>
                <c:pt idx="924">
                  <c:v>5.6722376736613192E-2</c:v>
                </c:pt>
                <c:pt idx="925">
                  <c:v>6.4810230084558024E-2</c:v>
                </c:pt>
                <c:pt idx="926">
                  <c:v>5.273682114708729E-2</c:v>
                </c:pt>
                <c:pt idx="927">
                  <c:v>7.2657543915540523E-2</c:v>
                </c:pt>
                <c:pt idx="928">
                  <c:v>6.2612896914924582E-2</c:v>
                </c:pt>
                <c:pt idx="929">
                  <c:v>5.718533208778008E-2</c:v>
                </c:pt>
                <c:pt idx="930">
                  <c:v>5.8272044064632794E-2</c:v>
                </c:pt>
                <c:pt idx="931">
                  <c:v>5.7835269672326411E-2</c:v>
                </c:pt>
                <c:pt idx="932">
                  <c:v>4.4951695304240737E-2</c:v>
                </c:pt>
                <c:pt idx="933">
                  <c:v>6.5005049986092633E-2</c:v>
                </c:pt>
                <c:pt idx="934">
                  <c:v>7.7672798355920392E-2</c:v>
                </c:pt>
                <c:pt idx="935">
                  <c:v>4.8670071263748879E-2</c:v>
                </c:pt>
                <c:pt idx="936">
                  <c:v>5.3240765301614437E-2</c:v>
                </c:pt>
                <c:pt idx="937">
                  <c:v>4.4525571806713196E-2</c:v>
                </c:pt>
                <c:pt idx="938">
                  <c:v>5.50525178161149E-2</c:v>
                </c:pt>
                <c:pt idx="939">
                  <c:v>4.2154322663420396E-2</c:v>
                </c:pt>
                <c:pt idx="940">
                  <c:v>5.1002359114824258E-2</c:v>
                </c:pt>
                <c:pt idx="941">
                  <c:v>4.0220167126567147E-2</c:v>
                </c:pt>
                <c:pt idx="942">
                  <c:v>6.3943331019201244E-2</c:v>
                </c:pt>
                <c:pt idx="943">
                  <c:v>6.0628822474668331E-2</c:v>
                </c:pt>
                <c:pt idx="944">
                  <c:v>6.3220726706103736E-2</c:v>
                </c:pt>
                <c:pt idx="945">
                  <c:v>4.1237560905716023E-2</c:v>
                </c:pt>
                <c:pt idx="946">
                  <c:v>6.2032953801559251E-2</c:v>
                </c:pt>
                <c:pt idx="947">
                  <c:v>4.4944455067776688E-2</c:v>
                </c:pt>
                <c:pt idx="948">
                  <c:v>5.530013742283256E-2</c:v>
                </c:pt>
                <c:pt idx="949">
                  <c:v>6.0876372323706199E-2</c:v>
                </c:pt>
                <c:pt idx="950">
                  <c:v>5.3563206622276545E-2</c:v>
                </c:pt>
                <c:pt idx="951">
                  <c:v>4.6245612020446282E-2</c:v>
                </c:pt>
                <c:pt idx="952">
                  <c:v>4.5436948187580033E-2</c:v>
                </c:pt>
                <c:pt idx="953">
                  <c:v>7.1241397130947737E-2</c:v>
                </c:pt>
                <c:pt idx="954">
                  <c:v>7.3070260450053992E-2</c:v>
                </c:pt>
                <c:pt idx="955">
                  <c:v>4.5011687802261342E-2</c:v>
                </c:pt>
                <c:pt idx="956">
                  <c:v>6.0146694893517635E-2</c:v>
                </c:pt>
                <c:pt idx="957">
                  <c:v>5.2164524589899126E-2</c:v>
                </c:pt>
                <c:pt idx="958">
                  <c:v>5.1316670681305056E-2</c:v>
                </c:pt>
                <c:pt idx="959">
                  <c:v>4.6352342487732054E-2</c:v>
                </c:pt>
                <c:pt idx="960">
                  <c:v>5.9176708777670603E-2</c:v>
                </c:pt>
                <c:pt idx="961">
                  <c:v>6.5089122134122629E-2</c:v>
                </c:pt>
                <c:pt idx="962">
                  <c:v>4.0406554911722015E-2</c:v>
                </c:pt>
                <c:pt idx="963">
                  <c:v>4.7760414736362021E-2</c:v>
                </c:pt>
                <c:pt idx="964">
                  <c:v>6.5695198234285601E-2</c:v>
                </c:pt>
                <c:pt idx="965">
                  <c:v>4.9530302492834716E-2</c:v>
                </c:pt>
                <c:pt idx="966">
                  <c:v>3.6647352585511814E-2</c:v>
                </c:pt>
                <c:pt idx="967">
                  <c:v>5.1597988381096416E-2</c:v>
                </c:pt>
                <c:pt idx="968">
                  <c:v>4.3895450595911059E-2</c:v>
                </c:pt>
                <c:pt idx="969">
                  <c:v>6.6876936240665499E-2</c:v>
                </c:pt>
                <c:pt idx="970">
                  <c:v>6.1811056017545572E-2</c:v>
                </c:pt>
                <c:pt idx="971">
                  <c:v>3.5684432150113077E-2</c:v>
                </c:pt>
                <c:pt idx="972">
                  <c:v>4.6107168323729658E-2</c:v>
                </c:pt>
                <c:pt idx="973">
                  <c:v>5.7364221475662114E-2</c:v>
                </c:pt>
                <c:pt idx="974">
                  <c:v>5.0860970018659482E-2</c:v>
                </c:pt>
                <c:pt idx="975">
                  <c:v>6.4026567091222591E-2</c:v>
                </c:pt>
                <c:pt idx="976">
                  <c:v>5.5367067371397516E-2</c:v>
                </c:pt>
                <c:pt idx="977">
                  <c:v>3.5393122693974391E-2</c:v>
                </c:pt>
                <c:pt idx="978">
                  <c:v>4.1135564521084439E-2</c:v>
                </c:pt>
                <c:pt idx="979">
                  <c:v>5.1856324078963859E-2</c:v>
                </c:pt>
                <c:pt idx="980">
                  <c:v>4.6113435387041504E-2</c:v>
                </c:pt>
                <c:pt idx="981">
                  <c:v>4.6667598096245766E-2</c:v>
                </c:pt>
                <c:pt idx="982">
                  <c:v>6.3820387656425059E-2</c:v>
                </c:pt>
                <c:pt idx="983">
                  <c:v>6.2537666197361036E-2</c:v>
                </c:pt>
                <c:pt idx="984">
                  <c:v>6.3816478767081408E-2</c:v>
                </c:pt>
                <c:pt idx="985">
                  <c:v>5.2829763966383725E-2</c:v>
                </c:pt>
                <c:pt idx="986">
                  <c:v>5.1675315758575632E-2</c:v>
                </c:pt>
                <c:pt idx="987">
                  <c:v>5.6547896071226789E-2</c:v>
                </c:pt>
                <c:pt idx="988">
                  <c:v>4.5024557680186164E-2</c:v>
                </c:pt>
                <c:pt idx="989">
                  <c:v>5.0035342651536134E-2</c:v>
                </c:pt>
                <c:pt idx="990">
                  <c:v>6.3498211592674436E-2</c:v>
                </c:pt>
                <c:pt idx="991">
                  <c:v>5.4748033084253855E-2</c:v>
                </c:pt>
                <c:pt idx="992">
                  <c:v>5.12204018857874E-2</c:v>
                </c:pt>
                <c:pt idx="993">
                  <c:v>4.5676449727721044E-2</c:v>
                </c:pt>
                <c:pt idx="994">
                  <c:v>4.6870132403755552E-2</c:v>
                </c:pt>
                <c:pt idx="995">
                  <c:v>3.3476608865053478E-2</c:v>
                </c:pt>
                <c:pt idx="996">
                  <c:v>6.4215384794206826E-2</c:v>
                </c:pt>
                <c:pt idx="997">
                  <c:v>5.3322858306823304E-2</c:v>
                </c:pt>
                <c:pt idx="998">
                  <c:v>4.3155591818215079E-2</c:v>
                </c:pt>
                <c:pt idx="999">
                  <c:v>4.6269213150265852E-2</c:v>
                </c:pt>
                <c:pt idx="1000">
                  <c:v>6.0896262799444545E-2</c:v>
                </c:pt>
                <c:pt idx="1001">
                  <c:v>5.172959383562542E-2</c:v>
                </c:pt>
                <c:pt idx="1002">
                  <c:v>6.1660714007866789E-2</c:v>
                </c:pt>
                <c:pt idx="1003">
                  <c:v>6.541693024880843E-2</c:v>
                </c:pt>
                <c:pt idx="1004">
                  <c:v>5.1876072252612988E-2</c:v>
                </c:pt>
                <c:pt idx="1005">
                  <c:v>4.9343518268498858E-2</c:v>
                </c:pt>
                <c:pt idx="1006">
                  <c:v>4.1766394020507192E-2</c:v>
                </c:pt>
                <c:pt idx="1007">
                  <c:v>4.4453671982685433E-2</c:v>
                </c:pt>
                <c:pt idx="1008">
                  <c:v>6.7640166423700326E-2</c:v>
                </c:pt>
                <c:pt idx="1009">
                  <c:v>4.7886631600066606E-2</c:v>
                </c:pt>
                <c:pt idx="1010">
                  <c:v>3.7502428443318012E-2</c:v>
                </c:pt>
                <c:pt idx="1011">
                  <c:v>6.6390202558651551E-2</c:v>
                </c:pt>
                <c:pt idx="1012">
                  <c:v>6.3799452706825244E-2</c:v>
                </c:pt>
                <c:pt idx="1013">
                  <c:v>6.6733779508159979E-2</c:v>
                </c:pt>
                <c:pt idx="1014">
                  <c:v>5.32573763358146E-2</c:v>
                </c:pt>
                <c:pt idx="1015">
                  <c:v>6.1887730208589488E-2</c:v>
                </c:pt>
                <c:pt idx="1016">
                  <c:v>4.8087400983466713E-2</c:v>
                </c:pt>
                <c:pt idx="1017">
                  <c:v>6.564555804324694E-2</c:v>
                </c:pt>
                <c:pt idx="1018">
                  <c:v>5.510511059215295E-2</c:v>
                </c:pt>
                <c:pt idx="1019">
                  <c:v>4.3874235056941054E-2</c:v>
                </c:pt>
                <c:pt idx="1020">
                  <c:v>4.054083123855115E-2</c:v>
                </c:pt>
              </c:numCache>
            </c:numRef>
          </c:xVal>
          <c:yVal>
            <c:numRef>
              <c:f>Rates!$D$66:$D$1086</c:f>
              <c:numCache>
                <c:formatCode>0.00%</c:formatCode>
                <c:ptCount val="1021"/>
                <c:pt idx="0">
                  <c:v>5.9999999999999991E-2</c:v>
                </c:pt>
                <c:pt idx="1">
                  <c:v>6.2197916666666665E-2</c:v>
                </c:pt>
                <c:pt idx="2">
                  <c:v>6.4375000000000002E-2</c:v>
                </c:pt>
                <c:pt idx="3">
                  <c:v>6.6531249999999986E-2</c:v>
                </c:pt>
                <c:pt idx="4">
                  <c:v>6.8666666666666668E-2</c:v>
                </c:pt>
                <c:pt idx="5">
                  <c:v>7.0781250000000004E-2</c:v>
                </c:pt>
                <c:pt idx="6">
                  <c:v>7.2875000000000009E-2</c:v>
                </c:pt>
                <c:pt idx="7">
                  <c:v>7.494791666666667E-2</c:v>
                </c:pt>
                <c:pt idx="8">
                  <c:v>7.7000000000000013E-2</c:v>
                </c:pt>
                <c:pt idx="9">
                  <c:v>7.9031249999999997E-2</c:v>
                </c:pt>
                <c:pt idx="10">
                  <c:v>8.1041666666666679E-2</c:v>
                </c:pt>
                <c:pt idx="11">
                  <c:v>8.3031250000000015E-2</c:v>
                </c:pt>
                <c:pt idx="12">
                  <c:v>8.5000000000000006E-2</c:v>
                </c:pt>
                <c:pt idx="13">
                  <c:v>8.6947916666666653E-2</c:v>
                </c:pt>
                <c:pt idx="14">
                  <c:v>8.887500000000001E-2</c:v>
                </c:pt>
                <c:pt idx="15">
                  <c:v>9.0781249999999994E-2</c:v>
                </c:pt>
                <c:pt idx="16">
                  <c:v>9.2666666666666675E-2</c:v>
                </c:pt>
                <c:pt idx="17">
                  <c:v>9.4531250000000011E-2</c:v>
                </c:pt>
                <c:pt idx="18">
                  <c:v>9.6375000000000002E-2</c:v>
                </c:pt>
                <c:pt idx="19">
                  <c:v>9.819791666666669E-2</c:v>
                </c:pt>
                <c:pt idx="20">
                  <c:v>0.1</c:v>
                </c:pt>
              </c:numCache>
            </c:numRef>
          </c:yVal>
          <c:smooth val="1"/>
          <c:extLst>
            <c:ext xmlns:c16="http://schemas.microsoft.com/office/drawing/2014/chart" uri="{C3380CC4-5D6E-409C-BE32-E72D297353CC}">
              <c16:uniqueId val="{00000001-419D-4DDF-8DB4-7A7BC0ABFBC2}"/>
            </c:ext>
          </c:extLst>
        </c:ser>
        <c:ser>
          <c:idx val="2"/>
          <c:order val="2"/>
          <c:tx>
            <c:v>Most likely</c:v>
          </c:tx>
          <c:spPr>
            <a:ln w="22000">
              <a:solidFill>
                <a:srgbClr val="15803D"/>
              </a:solidFill>
              <a:prstDash val="solid"/>
            </a:ln>
          </c:spPr>
          <c:marker>
            <c:symbol val="none"/>
          </c:marker>
          <c:xVal>
            <c:numRef>
              <c:f>Rates!$B$66:$B$1086</c:f>
              <c:numCache>
                <c:formatCode>0.00%</c:formatCode>
                <c:ptCount val="1021"/>
                <c:pt idx="0">
                  <c:v>0.03</c:v>
                </c:pt>
                <c:pt idx="1">
                  <c:v>3.2500000000000001E-2</c:v>
                </c:pt>
                <c:pt idx="2">
                  <c:v>3.5000000000000003E-2</c:v>
                </c:pt>
                <c:pt idx="3">
                  <c:v>3.7499999999999999E-2</c:v>
                </c:pt>
                <c:pt idx="4">
                  <c:v>0.04</c:v>
                </c:pt>
                <c:pt idx="5">
                  <c:v>4.2500000000000003E-2</c:v>
                </c:pt>
                <c:pt idx="6">
                  <c:v>4.4999999999999998E-2</c:v>
                </c:pt>
                <c:pt idx="7">
                  <c:v>4.7500000000000001E-2</c:v>
                </c:pt>
                <c:pt idx="8">
                  <c:v>0.05</c:v>
                </c:pt>
                <c:pt idx="9">
                  <c:v>5.2499999999999998E-2</c:v>
                </c:pt>
                <c:pt idx="10">
                  <c:v>5.5E-2</c:v>
                </c:pt>
                <c:pt idx="11">
                  <c:v>5.7500000000000002E-2</c:v>
                </c:pt>
                <c:pt idx="12">
                  <c:v>0.06</c:v>
                </c:pt>
                <c:pt idx="13">
                  <c:v>6.25E-2</c:v>
                </c:pt>
                <c:pt idx="14">
                  <c:v>6.5000000000000002E-2</c:v>
                </c:pt>
                <c:pt idx="15">
                  <c:v>6.7500000000000004E-2</c:v>
                </c:pt>
                <c:pt idx="16">
                  <c:v>7.0000000000000007E-2</c:v>
                </c:pt>
                <c:pt idx="17">
                  <c:v>7.2500000000000009E-2</c:v>
                </c:pt>
                <c:pt idx="18">
                  <c:v>7.4999999999999997E-2</c:v>
                </c:pt>
                <c:pt idx="19">
                  <c:v>7.7499999999999999E-2</c:v>
                </c:pt>
                <c:pt idx="20">
                  <c:v>0.08</c:v>
                </c:pt>
                <c:pt idx="21">
                  <c:v>4.9095203925873465E-2</c:v>
                </c:pt>
                <c:pt idx="22">
                  <c:v>7.5044823702192703E-2</c:v>
                </c:pt>
                <c:pt idx="23">
                  <c:v>5.7472039872446534E-2</c:v>
                </c:pt>
                <c:pt idx="24">
                  <c:v>6.6437038087169553E-2</c:v>
                </c:pt>
                <c:pt idx="25">
                  <c:v>3.0614617404349911E-2</c:v>
                </c:pt>
                <c:pt idx="26">
                  <c:v>4.0552836157230314E-2</c:v>
                </c:pt>
                <c:pt idx="27">
                  <c:v>4.6017472822477146E-2</c:v>
                </c:pt>
                <c:pt idx="28">
                  <c:v>7.6428077290444402E-2</c:v>
                </c:pt>
                <c:pt idx="29">
                  <c:v>4.123626055264875E-2</c:v>
                </c:pt>
                <c:pt idx="30">
                  <c:v>4.4119502155034698E-2</c:v>
                </c:pt>
                <c:pt idx="31">
                  <c:v>3.9100827243553543E-2</c:v>
                </c:pt>
                <c:pt idx="32">
                  <c:v>4.855679520209448E-2</c:v>
                </c:pt>
                <c:pt idx="33">
                  <c:v>4.2575636338402702E-2</c:v>
                </c:pt>
                <c:pt idx="34">
                  <c:v>4.83276286013955E-2</c:v>
                </c:pt>
                <c:pt idx="35">
                  <c:v>4.7197764737217818E-2</c:v>
                </c:pt>
                <c:pt idx="36">
                  <c:v>5.5939237935619668E-2</c:v>
                </c:pt>
                <c:pt idx="37">
                  <c:v>4.8561725195763593E-2</c:v>
                </c:pt>
                <c:pt idx="38">
                  <c:v>6.6641000710494488E-2</c:v>
                </c:pt>
                <c:pt idx="39">
                  <c:v>5.2302104463853971E-2</c:v>
                </c:pt>
                <c:pt idx="40">
                  <c:v>6.1970660571174514E-2</c:v>
                </c:pt>
                <c:pt idx="41">
                  <c:v>4.9152303295972366E-2</c:v>
                </c:pt>
                <c:pt idx="42">
                  <c:v>4.6319542595019969E-2</c:v>
                </c:pt>
                <c:pt idx="43">
                  <c:v>5.6397674326101335E-2</c:v>
                </c:pt>
                <c:pt idx="44">
                  <c:v>5.1922549432721954E-2</c:v>
                </c:pt>
                <c:pt idx="45">
                  <c:v>4.3154628120470495E-2</c:v>
                </c:pt>
                <c:pt idx="46">
                  <c:v>4.9788898675703602E-2</c:v>
                </c:pt>
                <c:pt idx="47">
                  <c:v>6.3391442067446346E-2</c:v>
                </c:pt>
                <c:pt idx="48">
                  <c:v>4.3924697450954543E-2</c:v>
                </c:pt>
                <c:pt idx="49">
                  <c:v>3.5401382078426108E-2</c:v>
                </c:pt>
                <c:pt idx="50">
                  <c:v>5.2184772841892366E-2</c:v>
                </c:pt>
                <c:pt idx="51">
                  <c:v>5.5960431340812411E-2</c:v>
                </c:pt>
                <c:pt idx="52">
                  <c:v>6.5273161469414448E-2</c:v>
                </c:pt>
                <c:pt idx="53">
                  <c:v>4.9102637888722683E-2</c:v>
                </c:pt>
                <c:pt idx="54">
                  <c:v>5.0149414295728563E-2</c:v>
                </c:pt>
                <c:pt idx="55">
                  <c:v>5.2834426514502042E-2</c:v>
                </c:pt>
                <c:pt idx="56">
                  <c:v>4.9454377923620348E-2</c:v>
                </c:pt>
                <c:pt idx="57">
                  <c:v>4.1007074452037273E-2</c:v>
                </c:pt>
                <c:pt idx="58">
                  <c:v>6.6894246467038981E-2</c:v>
                </c:pt>
                <c:pt idx="59">
                  <c:v>4.2954759033927474E-2</c:v>
                </c:pt>
                <c:pt idx="60">
                  <c:v>5.9387064650646901E-2</c:v>
                </c:pt>
                <c:pt idx="61">
                  <c:v>6.0186419939137079E-2</c:v>
                </c:pt>
                <c:pt idx="62">
                  <c:v>5.7335897948424891E-2</c:v>
                </c:pt>
                <c:pt idx="63">
                  <c:v>6.9417045331389746E-2</c:v>
                </c:pt>
                <c:pt idx="64">
                  <c:v>6.0260517192941579E-2</c:v>
                </c:pt>
                <c:pt idx="65">
                  <c:v>4.6323684980288805E-2</c:v>
                </c:pt>
                <c:pt idx="66">
                  <c:v>3.9121102537512116E-2</c:v>
                </c:pt>
                <c:pt idx="67">
                  <c:v>5.6611007420773581E-2</c:v>
                </c:pt>
                <c:pt idx="68">
                  <c:v>5.1753024229332131E-2</c:v>
                </c:pt>
                <c:pt idx="69">
                  <c:v>6.3309299598229313E-2</c:v>
                </c:pt>
                <c:pt idx="70">
                  <c:v>6.2784256460347077E-2</c:v>
                </c:pt>
                <c:pt idx="71">
                  <c:v>6.4210722105265017E-2</c:v>
                </c:pt>
                <c:pt idx="72">
                  <c:v>6.1269909563748941E-2</c:v>
                </c:pt>
                <c:pt idx="73">
                  <c:v>3.8774186704191652E-2</c:v>
                </c:pt>
                <c:pt idx="74">
                  <c:v>6.1288051553864874E-2</c:v>
                </c:pt>
                <c:pt idx="75">
                  <c:v>3.6269086469247494E-2</c:v>
                </c:pt>
                <c:pt idx="76">
                  <c:v>4.5194933714292652E-2</c:v>
                </c:pt>
                <c:pt idx="77">
                  <c:v>4.2033946200817768E-2</c:v>
                </c:pt>
                <c:pt idx="78">
                  <c:v>3.7491185494053329E-2</c:v>
                </c:pt>
                <c:pt idx="79">
                  <c:v>6.3392638261468626E-2</c:v>
                </c:pt>
                <c:pt idx="80">
                  <c:v>5.5962210321813186E-2</c:v>
                </c:pt>
                <c:pt idx="81">
                  <c:v>3.936075880092748E-2</c:v>
                </c:pt>
                <c:pt idx="82">
                  <c:v>5.3768201781880631E-2</c:v>
                </c:pt>
                <c:pt idx="83">
                  <c:v>4.9202568943766331E-2</c:v>
                </c:pt>
                <c:pt idx="84">
                  <c:v>5.5995325144422098E-2</c:v>
                </c:pt>
                <c:pt idx="85">
                  <c:v>6.8396620122530671E-2</c:v>
                </c:pt>
                <c:pt idx="86">
                  <c:v>4.8957553285945421E-2</c:v>
                </c:pt>
                <c:pt idx="87">
                  <c:v>5.2151534112082995E-2</c:v>
                </c:pt>
                <c:pt idx="88">
                  <c:v>4.2937321351218881E-2</c:v>
                </c:pt>
                <c:pt idx="89">
                  <c:v>5.6597570956328287E-2</c:v>
                </c:pt>
                <c:pt idx="90">
                  <c:v>4.5663355779551051E-2</c:v>
                </c:pt>
                <c:pt idx="91">
                  <c:v>4.638113765279827E-2</c:v>
                </c:pt>
                <c:pt idx="92">
                  <c:v>4.1069873100057816E-2</c:v>
                </c:pt>
                <c:pt idx="93">
                  <c:v>5.6436020474488299E-2</c:v>
                </c:pt>
                <c:pt idx="94">
                  <c:v>5.9559673014021944E-2</c:v>
                </c:pt>
                <c:pt idx="95">
                  <c:v>6.1489371595022151E-2</c:v>
                </c:pt>
                <c:pt idx="96">
                  <c:v>4.8977310561303861E-2</c:v>
                </c:pt>
                <c:pt idx="97">
                  <c:v>3.4569972139296495E-2</c:v>
                </c:pt>
                <c:pt idx="98">
                  <c:v>3.5925680751159539E-2</c:v>
                </c:pt>
                <c:pt idx="99">
                  <c:v>5.8430324831753977E-2</c:v>
                </c:pt>
                <c:pt idx="100">
                  <c:v>5.4627621244857566E-2</c:v>
                </c:pt>
                <c:pt idx="101">
                  <c:v>7.2415863743570813E-2</c:v>
                </c:pt>
                <c:pt idx="102">
                  <c:v>5.5673059001754316E-2</c:v>
                </c:pt>
                <c:pt idx="103">
                  <c:v>5.8365221554226188E-2</c:v>
                </c:pt>
                <c:pt idx="104">
                  <c:v>4.5910905265858289E-2</c:v>
                </c:pt>
                <c:pt idx="105">
                  <c:v>4.5404767033535992E-2</c:v>
                </c:pt>
                <c:pt idx="106">
                  <c:v>4.9859203389088419E-2</c:v>
                </c:pt>
                <c:pt idx="107">
                  <c:v>5.9771276160199852E-2</c:v>
                </c:pt>
                <c:pt idx="108">
                  <c:v>4.369946305717462E-2</c:v>
                </c:pt>
                <c:pt idx="109">
                  <c:v>3.9566403307189309E-2</c:v>
                </c:pt>
                <c:pt idx="110">
                  <c:v>3.8221473040526359E-2</c:v>
                </c:pt>
                <c:pt idx="111">
                  <c:v>4.990531771934785E-2</c:v>
                </c:pt>
                <c:pt idx="112">
                  <c:v>5.0464981320151286E-2</c:v>
                </c:pt>
                <c:pt idx="113">
                  <c:v>6.4965686294495228E-2</c:v>
                </c:pt>
                <c:pt idx="114">
                  <c:v>3.9267569764450873E-2</c:v>
                </c:pt>
                <c:pt idx="115">
                  <c:v>4.577484905032899E-2</c:v>
                </c:pt>
                <c:pt idx="116">
                  <c:v>6.4676308085804907E-2</c:v>
                </c:pt>
                <c:pt idx="117">
                  <c:v>4.5611332894319179E-2</c:v>
                </c:pt>
                <c:pt idx="118">
                  <c:v>4.0221470327401546E-2</c:v>
                </c:pt>
                <c:pt idx="119">
                  <c:v>4.0624572616726522E-2</c:v>
                </c:pt>
                <c:pt idx="120">
                  <c:v>5.1929215528767239E-2</c:v>
                </c:pt>
                <c:pt idx="121">
                  <c:v>3.4679039997674424E-2</c:v>
                </c:pt>
                <c:pt idx="122">
                  <c:v>3.8708999215284409E-2</c:v>
                </c:pt>
                <c:pt idx="123">
                  <c:v>5.6207523888816002E-2</c:v>
                </c:pt>
                <c:pt idx="124">
                  <c:v>6.5443999900598515E-2</c:v>
                </c:pt>
                <c:pt idx="125">
                  <c:v>4.3377785506310773E-2</c:v>
                </c:pt>
                <c:pt idx="126">
                  <c:v>6.5070617026444649E-2</c:v>
                </c:pt>
                <c:pt idx="127">
                  <c:v>4.4980349190982503E-2</c:v>
                </c:pt>
                <c:pt idx="128">
                  <c:v>4.5922997782372021E-2</c:v>
                </c:pt>
                <c:pt idx="129">
                  <c:v>5.1051644776888158E-2</c:v>
                </c:pt>
                <c:pt idx="130">
                  <c:v>5.3530726095567534E-2</c:v>
                </c:pt>
                <c:pt idx="131">
                  <c:v>3.7161176306201187E-2</c:v>
                </c:pt>
                <c:pt idx="132">
                  <c:v>5.302912059322671E-2</c:v>
                </c:pt>
                <c:pt idx="133">
                  <c:v>5.3251227992995157E-2</c:v>
                </c:pt>
                <c:pt idx="134">
                  <c:v>5.4345313767593835E-2</c:v>
                </c:pt>
                <c:pt idx="135">
                  <c:v>4.1235286528799819E-2</c:v>
                </c:pt>
                <c:pt idx="136">
                  <c:v>6.8275654070123204E-2</c:v>
                </c:pt>
                <c:pt idx="137">
                  <c:v>5.3665127460621423E-2</c:v>
                </c:pt>
                <c:pt idx="138">
                  <c:v>4.4848857456537862E-2</c:v>
                </c:pt>
                <c:pt idx="139">
                  <c:v>5.6836423026730407E-2</c:v>
                </c:pt>
                <c:pt idx="140">
                  <c:v>4.3967878086295167E-2</c:v>
                </c:pt>
                <c:pt idx="141">
                  <c:v>3.9529169425366689E-2</c:v>
                </c:pt>
                <c:pt idx="142">
                  <c:v>5.2159071749230027E-2</c:v>
                </c:pt>
                <c:pt idx="143">
                  <c:v>4.9017217023118689E-2</c:v>
                </c:pt>
                <c:pt idx="144">
                  <c:v>6.7717566356796613E-2</c:v>
                </c:pt>
                <c:pt idx="145">
                  <c:v>5.6673768079107442E-2</c:v>
                </c:pt>
                <c:pt idx="146">
                  <c:v>5.1090758807336809E-2</c:v>
                </c:pt>
                <c:pt idx="147">
                  <c:v>4.9020459276502379E-2</c:v>
                </c:pt>
                <c:pt idx="148">
                  <c:v>5.2349698524968152E-2</c:v>
                </c:pt>
                <c:pt idx="149">
                  <c:v>3.6961246488464571E-2</c:v>
                </c:pt>
                <c:pt idx="150">
                  <c:v>5.8943306632096501E-2</c:v>
                </c:pt>
                <c:pt idx="151">
                  <c:v>5.2224257995227327E-2</c:v>
                </c:pt>
                <c:pt idx="152">
                  <c:v>3.6679397107174022E-2</c:v>
                </c:pt>
                <c:pt idx="153">
                  <c:v>5.5765056802164897E-2</c:v>
                </c:pt>
                <c:pt idx="154">
                  <c:v>4.0991777200581538E-2</c:v>
                </c:pt>
                <c:pt idx="155">
                  <c:v>5.1666650073676171E-2</c:v>
                </c:pt>
                <c:pt idx="156">
                  <c:v>5.9883274683693873E-2</c:v>
                </c:pt>
                <c:pt idx="157">
                  <c:v>6.7298233899929769E-2</c:v>
                </c:pt>
                <c:pt idx="158">
                  <c:v>3.5595249698030448E-2</c:v>
                </c:pt>
                <c:pt idx="159">
                  <c:v>5.3589884941023583E-2</c:v>
                </c:pt>
                <c:pt idx="160">
                  <c:v>6.3633233843416181E-2</c:v>
                </c:pt>
                <c:pt idx="161">
                  <c:v>6.4678038013544548E-2</c:v>
                </c:pt>
                <c:pt idx="162">
                  <c:v>5.2354708208693354E-2</c:v>
                </c:pt>
                <c:pt idx="163">
                  <c:v>4.0900803920063462E-2</c:v>
                </c:pt>
                <c:pt idx="164">
                  <c:v>4.9907589504075735E-2</c:v>
                </c:pt>
                <c:pt idx="165">
                  <c:v>4.0966660249415768E-2</c:v>
                </c:pt>
                <c:pt idx="166">
                  <c:v>6.4083520234179236E-2</c:v>
                </c:pt>
                <c:pt idx="167">
                  <c:v>6.0432542347111602E-2</c:v>
                </c:pt>
                <c:pt idx="168">
                  <c:v>4.8053880006529021E-2</c:v>
                </c:pt>
                <c:pt idx="169">
                  <c:v>4.8585728987392975E-2</c:v>
                </c:pt>
                <c:pt idx="170">
                  <c:v>5.2291648821684536E-2</c:v>
                </c:pt>
                <c:pt idx="171">
                  <c:v>4.1882833604912961E-2</c:v>
                </c:pt>
                <c:pt idx="172">
                  <c:v>5.5431717362277755E-2</c:v>
                </c:pt>
                <c:pt idx="173">
                  <c:v>6.6103764726137396E-2</c:v>
                </c:pt>
                <c:pt idx="174">
                  <c:v>4.7619020755082016E-2</c:v>
                </c:pt>
                <c:pt idx="175">
                  <c:v>4.7257131060984038E-2</c:v>
                </c:pt>
                <c:pt idx="176">
                  <c:v>5.3166955148294878E-2</c:v>
                </c:pt>
                <c:pt idx="177">
                  <c:v>5.8452349557322356E-2</c:v>
                </c:pt>
                <c:pt idx="178">
                  <c:v>5.5017743379647828E-2</c:v>
                </c:pt>
                <c:pt idx="179">
                  <c:v>5.7650797621234054E-2</c:v>
                </c:pt>
                <c:pt idx="180">
                  <c:v>4.0484226372640549E-2</c:v>
                </c:pt>
                <c:pt idx="181">
                  <c:v>6.3642062555745949E-2</c:v>
                </c:pt>
                <c:pt idx="182">
                  <c:v>5.6547195511650147E-2</c:v>
                </c:pt>
                <c:pt idx="183">
                  <c:v>5.4617573051185711E-2</c:v>
                </c:pt>
                <c:pt idx="184">
                  <c:v>5.5300870354650478E-2</c:v>
                </c:pt>
                <c:pt idx="185">
                  <c:v>5.8456651309245378E-2</c:v>
                </c:pt>
                <c:pt idx="186">
                  <c:v>4.7422967998688205E-2</c:v>
                </c:pt>
                <c:pt idx="187">
                  <c:v>4.7287592842392021E-2</c:v>
                </c:pt>
                <c:pt idx="188">
                  <c:v>5.8867049906679916E-2</c:v>
                </c:pt>
                <c:pt idx="189">
                  <c:v>4.5105854728490206E-2</c:v>
                </c:pt>
                <c:pt idx="190">
                  <c:v>4.7492465312099233E-2</c:v>
                </c:pt>
                <c:pt idx="191">
                  <c:v>6.4277270089323185E-2</c:v>
                </c:pt>
                <c:pt idx="192">
                  <c:v>5.8517686640408753E-2</c:v>
                </c:pt>
                <c:pt idx="193">
                  <c:v>4.9385949158126427E-2</c:v>
                </c:pt>
                <c:pt idx="194">
                  <c:v>6.3546460244052305E-2</c:v>
                </c:pt>
                <c:pt idx="195">
                  <c:v>6.9059745394025207E-2</c:v>
                </c:pt>
                <c:pt idx="196">
                  <c:v>3.3803437926516314E-2</c:v>
                </c:pt>
                <c:pt idx="197">
                  <c:v>5.5754756509692346E-2</c:v>
                </c:pt>
                <c:pt idx="198">
                  <c:v>5.1223714944770044E-2</c:v>
                </c:pt>
                <c:pt idx="199">
                  <c:v>5.4562116849909234E-2</c:v>
                </c:pt>
                <c:pt idx="200">
                  <c:v>3.8242449389094074E-2</c:v>
                </c:pt>
                <c:pt idx="201">
                  <c:v>4.0034818998414899E-2</c:v>
                </c:pt>
                <c:pt idx="202">
                  <c:v>5.9688353401865485E-2</c:v>
                </c:pt>
                <c:pt idx="203">
                  <c:v>6.7681304419686616E-2</c:v>
                </c:pt>
                <c:pt idx="204">
                  <c:v>3.7749629776905574E-2</c:v>
                </c:pt>
                <c:pt idx="205">
                  <c:v>4.9958235670978672E-2</c:v>
                </c:pt>
                <c:pt idx="206">
                  <c:v>4.7459736753633332E-2</c:v>
                </c:pt>
                <c:pt idx="207">
                  <c:v>5.3367267103879623E-2</c:v>
                </c:pt>
                <c:pt idx="208">
                  <c:v>6.7091529531533786E-2</c:v>
                </c:pt>
                <c:pt idx="209">
                  <c:v>4.8861456219823601E-2</c:v>
                </c:pt>
                <c:pt idx="210">
                  <c:v>4.8112783649899453E-2</c:v>
                </c:pt>
                <c:pt idx="211">
                  <c:v>4.4147416875906877E-2</c:v>
                </c:pt>
                <c:pt idx="212">
                  <c:v>5.8856478524237484E-2</c:v>
                </c:pt>
                <c:pt idx="213">
                  <c:v>6.4676817364298533E-2</c:v>
                </c:pt>
                <c:pt idx="214">
                  <c:v>5.9151939257222931E-2</c:v>
                </c:pt>
                <c:pt idx="215">
                  <c:v>5.3239343574566202E-2</c:v>
                </c:pt>
                <c:pt idx="216">
                  <c:v>4.5990508661599705E-2</c:v>
                </c:pt>
                <c:pt idx="217">
                  <c:v>3.2168007327393278E-2</c:v>
                </c:pt>
                <c:pt idx="218">
                  <c:v>5.9191299252421212E-2</c:v>
                </c:pt>
                <c:pt idx="219">
                  <c:v>5.4434769216417128E-2</c:v>
                </c:pt>
                <c:pt idx="220">
                  <c:v>4.1454462201141316E-2</c:v>
                </c:pt>
                <c:pt idx="221">
                  <c:v>4.6685447251303511E-2</c:v>
                </c:pt>
                <c:pt idx="222">
                  <c:v>5.3373912345329566E-2</c:v>
                </c:pt>
                <c:pt idx="223">
                  <c:v>5.1989175687990996E-2</c:v>
                </c:pt>
                <c:pt idx="224">
                  <c:v>3.3424865601479739E-2</c:v>
                </c:pt>
                <c:pt idx="225">
                  <c:v>6.3771801798494038E-2</c:v>
                </c:pt>
                <c:pt idx="226">
                  <c:v>5.7121057770139913E-2</c:v>
                </c:pt>
                <c:pt idx="227">
                  <c:v>4.7512233460912739E-2</c:v>
                </c:pt>
                <c:pt idx="228">
                  <c:v>5.0501770094307535E-2</c:v>
                </c:pt>
                <c:pt idx="229">
                  <c:v>6.4962289157745032E-2</c:v>
                </c:pt>
                <c:pt idx="230">
                  <c:v>5.8913043758483191E-2</c:v>
                </c:pt>
                <c:pt idx="231">
                  <c:v>5.4608810441660383E-2</c:v>
                </c:pt>
                <c:pt idx="232">
                  <c:v>5.0416562083053638E-2</c:v>
                </c:pt>
                <c:pt idx="233">
                  <c:v>3.4306164216413651E-2</c:v>
                </c:pt>
                <c:pt idx="234">
                  <c:v>4.5079353559731097E-2</c:v>
                </c:pt>
                <c:pt idx="235">
                  <c:v>6.6229371527394137E-2</c:v>
                </c:pt>
                <c:pt idx="236">
                  <c:v>6.1371415129911171E-2</c:v>
                </c:pt>
                <c:pt idx="237">
                  <c:v>5.6568035091094593E-2</c:v>
                </c:pt>
                <c:pt idx="238">
                  <c:v>5.2636596559681656E-2</c:v>
                </c:pt>
                <c:pt idx="239">
                  <c:v>7.5120457528867729E-2</c:v>
                </c:pt>
                <c:pt idx="240">
                  <c:v>3.8058468828980514E-2</c:v>
                </c:pt>
                <c:pt idx="241">
                  <c:v>4.2117989453000812E-2</c:v>
                </c:pt>
                <c:pt idx="242">
                  <c:v>5.0549898051400782E-2</c:v>
                </c:pt>
                <c:pt idx="243">
                  <c:v>4.0888372629172463E-2</c:v>
                </c:pt>
                <c:pt idx="244">
                  <c:v>5.8188681450865462E-2</c:v>
                </c:pt>
                <c:pt idx="245">
                  <c:v>6.6439609691079121E-2</c:v>
                </c:pt>
                <c:pt idx="246">
                  <c:v>4.2759094258388468E-2</c:v>
                </c:pt>
                <c:pt idx="247">
                  <c:v>5.6747027399779701E-2</c:v>
                </c:pt>
                <c:pt idx="248">
                  <c:v>5.0335752034553809E-2</c:v>
                </c:pt>
                <c:pt idx="249">
                  <c:v>3.7850410786474185E-2</c:v>
                </c:pt>
                <c:pt idx="250">
                  <c:v>4.3948294995697065E-2</c:v>
                </c:pt>
                <c:pt idx="251">
                  <c:v>5.8606495631205131E-2</c:v>
                </c:pt>
                <c:pt idx="252">
                  <c:v>5.1491111726252481E-2</c:v>
                </c:pt>
                <c:pt idx="253">
                  <c:v>5.8553753457460792E-2</c:v>
                </c:pt>
                <c:pt idx="254">
                  <c:v>4.3282966762885344E-2</c:v>
                </c:pt>
                <c:pt idx="255">
                  <c:v>6.5819292598129936E-2</c:v>
                </c:pt>
                <c:pt idx="256">
                  <c:v>3.6922379600599305E-2</c:v>
                </c:pt>
                <c:pt idx="257">
                  <c:v>5.7197786193281239E-2</c:v>
                </c:pt>
                <c:pt idx="258">
                  <c:v>5.1771809264194779E-2</c:v>
                </c:pt>
                <c:pt idx="259">
                  <c:v>4.0406207138481066E-2</c:v>
                </c:pt>
                <c:pt idx="260">
                  <c:v>4.2115914288999308E-2</c:v>
                </c:pt>
                <c:pt idx="261">
                  <c:v>3.4729739859570466E-2</c:v>
                </c:pt>
                <c:pt idx="262">
                  <c:v>4.8549734435270456E-2</c:v>
                </c:pt>
                <c:pt idx="263">
                  <c:v>3.5303496892283306E-2</c:v>
                </c:pt>
                <c:pt idx="264">
                  <c:v>3.973734909572834E-2</c:v>
                </c:pt>
                <c:pt idx="265">
                  <c:v>3.5476241233581084E-2</c:v>
                </c:pt>
                <c:pt idx="266">
                  <c:v>5.1532387087903725E-2</c:v>
                </c:pt>
                <c:pt idx="267">
                  <c:v>4.4418882895871509E-2</c:v>
                </c:pt>
                <c:pt idx="268">
                  <c:v>3.9520830013160993E-2</c:v>
                </c:pt>
                <c:pt idx="269">
                  <c:v>6.2561443718058676E-2</c:v>
                </c:pt>
                <c:pt idx="270">
                  <c:v>4.5637785666035408E-2</c:v>
                </c:pt>
                <c:pt idx="271">
                  <c:v>5.2302486788659633E-2</c:v>
                </c:pt>
                <c:pt idx="272">
                  <c:v>4.3990152194519287E-2</c:v>
                </c:pt>
                <c:pt idx="273">
                  <c:v>5.2676753239975088E-2</c:v>
                </c:pt>
                <c:pt idx="274">
                  <c:v>6.9353352829581313E-2</c:v>
                </c:pt>
                <c:pt idx="275">
                  <c:v>6.1792187680360343E-2</c:v>
                </c:pt>
                <c:pt idx="276">
                  <c:v>4.5344616733211184E-2</c:v>
                </c:pt>
                <c:pt idx="277">
                  <c:v>4.0402465718451019E-2</c:v>
                </c:pt>
                <c:pt idx="278">
                  <c:v>4.4045927365679576E-2</c:v>
                </c:pt>
                <c:pt idx="279">
                  <c:v>4.5369110317811309E-2</c:v>
                </c:pt>
                <c:pt idx="280">
                  <c:v>3.9066407436888127E-2</c:v>
                </c:pt>
                <c:pt idx="281">
                  <c:v>5.3568140300099744E-2</c:v>
                </c:pt>
                <c:pt idx="282">
                  <c:v>5.3141452880500206E-2</c:v>
                </c:pt>
                <c:pt idx="283">
                  <c:v>6.9563016472149408E-2</c:v>
                </c:pt>
                <c:pt idx="284">
                  <c:v>4.9118979890244815E-2</c:v>
                </c:pt>
                <c:pt idx="285">
                  <c:v>5.2897440060202069E-2</c:v>
                </c:pt>
                <c:pt idx="286">
                  <c:v>4.7794719152740445E-2</c:v>
                </c:pt>
                <c:pt idx="287">
                  <c:v>3.4606661604138028E-2</c:v>
                </c:pt>
                <c:pt idx="288">
                  <c:v>6.0643387057600903E-2</c:v>
                </c:pt>
                <c:pt idx="289">
                  <c:v>6.0182312071666022E-2</c:v>
                </c:pt>
                <c:pt idx="290">
                  <c:v>4.5667009708722388E-2</c:v>
                </c:pt>
                <c:pt idx="291">
                  <c:v>4.4026547495713615E-2</c:v>
                </c:pt>
                <c:pt idx="292">
                  <c:v>5.7380235924327824E-2</c:v>
                </c:pt>
                <c:pt idx="293">
                  <c:v>6.0421861311805776E-2</c:v>
                </c:pt>
                <c:pt idx="294">
                  <c:v>5.4317734227786477E-2</c:v>
                </c:pt>
                <c:pt idx="295">
                  <c:v>4.8326302812769992E-2</c:v>
                </c:pt>
                <c:pt idx="296">
                  <c:v>4.9354938810514601E-2</c:v>
                </c:pt>
                <c:pt idx="297">
                  <c:v>6.2717808556792182E-2</c:v>
                </c:pt>
                <c:pt idx="298">
                  <c:v>5.8487393668773466E-2</c:v>
                </c:pt>
                <c:pt idx="299">
                  <c:v>5.8330963703821737E-2</c:v>
                </c:pt>
                <c:pt idx="300">
                  <c:v>4.9378637577205869E-2</c:v>
                </c:pt>
                <c:pt idx="301">
                  <c:v>5.2768550509886658E-2</c:v>
                </c:pt>
                <c:pt idx="302">
                  <c:v>4.9393592913512127E-2</c:v>
                </c:pt>
                <c:pt idx="303">
                  <c:v>4.0863374024614159E-2</c:v>
                </c:pt>
                <c:pt idx="304">
                  <c:v>4.7636217748858498E-2</c:v>
                </c:pt>
                <c:pt idx="305">
                  <c:v>3.7527945956491844E-2</c:v>
                </c:pt>
                <c:pt idx="306">
                  <c:v>4.1468774479974949E-2</c:v>
                </c:pt>
                <c:pt idx="307">
                  <c:v>4.029346099253351E-2</c:v>
                </c:pt>
                <c:pt idx="308">
                  <c:v>6.6756428274531515E-2</c:v>
                </c:pt>
                <c:pt idx="309">
                  <c:v>3.6629349718998741E-2</c:v>
                </c:pt>
                <c:pt idx="310">
                  <c:v>6.5417168904751577E-2</c:v>
                </c:pt>
                <c:pt idx="311">
                  <c:v>3.9742619675961141E-2</c:v>
                </c:pt>
                <c:pt idx="312">
                  <c:v>5.9511963950439867E-2</c:v>
                </c:pt>
                <c:pt idx="313">
                  <c:v>4.3808116171353932E-2</c:v>
                </c:pt>
                <c:pt idx="314">
                  <c:v>5.4411984366883742E-2</c:v>
                </c:pt>
                <c:pt idx="315">
                  <c:v>5.7243175269477156E-2</c:v>
                </c:pt>
                <c:pt idx="316">
                  <c:v>3.605712851941683E-2</c:v>
                </c:pt>
                <c:pt idx="317">
                  <c:v>5.2862072883886529E-2</c:v>
                </c:pt>
                <c:pt idx="318">
                  <c:v>5.5490146177958173E-2</c:v>
                </c:pt>
                <c:pt idx="319">
                  <c:v>3.3918418633348636E-2</c:v>
                </c:pt>
                <c:pt idx="320">
                  <c:v>4.0614843804628147E-2</c:v>
                </c:pt>
                <c:pt idx="321">
                  <c:v>3.815290750389936E-2</c:v>
                </c:pt>
                <c:pt idx="322">
                  <c:v>4.5795661163176751E-2</c:v>
                </c:pt>
                <c:pt idx="323">
                  <c:v>6.9311745314512729E-2</c:v>
                </c:pt>
                <c:pt idx="324">
                  <c:v>4.7607090336182024E-2</c:v>
                </c:pt>
                <c:pt idx="325">
                  <c:v>5.3088259919040315E-2</c:v>
                </c:pt>
                <c:pt idx="326">
                  <c:v>4.5240335648086112E-2</c:v>
                </c:pt>
                <c:pt idx="327">
                  <c:v>4.3118322758004417E-2</c:v>
                </c:pt>
                <c:pt idx="328">
                  <c:v>3.8251109292206563E-2</c:v>
                </c:pt>
                <c:pt idx="329">
                  <c:v>4.4597848184736458E-2</c:v>
                </c:pt>
                <c:pt idx="330">
                  <c:v>4.1426655890659608E-2</c:v>
                </c:pt>
                <c:pt idx="331">
                  <c:v>5.8223231970374517E-2</c:v>
                </c:pt>
                <c:pt idx="332">
                  <c:v>4.1755458168477602E-2</c:v>
                </c:pt>
                <c:pt idx="333">
                  <c:v>4.2869965708986379E-2</c:v>
                </c:pt>
                <c:pt idx="334">
                  <c:v>6.6864424903088943E-2</c:v>
                </c:pt>
                <c:pt idx="335">
                  <c:v>5.3448093368457503E-2</c:v>
                </c:pt>
                <c:pt idx="336">
                  <c:v>4.7882375908835359E-2</c:v>
                </c:pt>
                <c:pt idx="337">
                  <c:v>6.9610288346745972E-2</c:v>
                </c:pt>
                <c:pt idx="338">
                  <c:v>3.6965101090299837E-2</c:v>
                </c:pt>
                <c:pt idx="339">
                  <c:v>6.1992435257395215E-2</c:v>
                </c:pt>
                <c:pt idx="340">
                  <c:v>5.812991199455414E-2</c:v>
                </c:pt>
                <c:pt idx="341">
                  <c:v>4.4231147865642993E-2</c:v>
                </c:pt>
                <c:pt idx="342">
                  <c:v>4.5916049270023074E-2</c:v>
                </c:pt>
                <c:pt idx="343">
                  <c:v>5.1109448752026165E-2</c:v>
                </c:pt>
                <c:pt idx="344">
                  <c:v>4.3151682489665895E-2</c:v>
                </c:pt>
                <c:pt idx="345">
                  <c:v>5.4513370023074749E-2</c:v>
                </c:pt>
                <c:pt idx="346">
                  <c:v>7.1138186476242204E-2</c:v>
                </c:pt>
                <c:pt idx="347">
                  <c:v>6.1263317560071799E-2</c:v>
                </c:pt>
                <c:pt idx="348">
                  <c:v>6.4128905526176436E-2</c:v>
                </c:pt>
                <c:pt idx="349">
                  <c:v>4.158908002766077E-2</c:v>
                </c:pt>
                <c:pt idx="350">
                  <c:v>5.873631241091648E-2</c:v>
                </c:pt>
                <c:pt idx="351">
                  <c:v>3.4599427837208319E-2</c:v>
                </c:pt>
                <c:pt idx="352">
                  <c:v>5.5397771488336967E-2</c:v>
                </c:pt>
                <c:pt idx="353">
                  <c:v>3.8055487264464068E-2</c:v>
                </c:pt>
                <c:pt idx="354">
                  <c:v>3.6311594805283856E-2</c:v>
                </c:pt>
                <c:pt idx="355">
                  <c:v>5.091415492583562E-2</c:v>
                </c:pt>
                <c:pt idx="356">
                  <c:v>6.0676840720821246E-2</c:v>
                </c:pt>
                <c:pt idx="357">
                  <c:v>5.4133925853602952E-2</c:v>
                </c:pt>
                <c:pt idx="358">
                  <c:v>5.8844768396958069E-2</c:v>
                </c:pt>
                <c:pt idx="359">
                  <c:v>5.3108569921035943E-2</c:v>
                </c:pt>
                <c:pt idx="360">
                  <c:v>5.0099018250870167E-2</c:v>
                </c:pt>
                <c:pt idx="361">
                  <c:v>4.6431796881522644E-2</c:v>
                </c:pt>
                <c:pt idx="362">
                  <c:v>5.2115910661025812E-2</c:v>
                </c:pt>
                <c:pt idx="363">
                  <c:v>7.2363939597502744E-2</c:v>
                </c:pt>
                <c:pt idx="364">
                  <c:v>3.9817669471527602E-2</c:v>
                </c:pt>
                <c:pt idx="365">
                  <c:v>5.3404149840820939E-2</c:v>
                </c:pt>
                <c:pt idx="366">
                  <c:v>4.1210453064976331E-2</c:v>
                </c:pt>
                <c:pt idx="367">
                  <c:v>4.8121749078250717E-2</c:v>
                </c:pt>
                <c:pt idx="368">
                  <c:v>5.1505404117946851E-2</c:v>
                </c:pt>
                <c:pt idx="369">
                  <c:v>5.2626495699301674E-2</c:v>
                </c:pt>
                <c:pt idx="370">
                  <c:v>4.3501692883927322E-2</c:v>
                </c:pt>
                <c:pt idx="371">
                  <c:v>5.8272466241557436E-2</c:v>
                </c:pt>
                <c:pt idx="372">
                  <c:v>6.5419176467308021E-2</c:v>
                </c:pt>
                <c:pt idx="373">
                  <c:v>5.5924174423429937E-2</c:v>
                </c:pt>
                <c:pt idx="374">
                  <c:v>5.0279137002862129E-2</c:v>
                </c:pt>
                <c:pt idx="375">
                  <c:v>4.4962336209277726E-2</c:v>
                </c:pt>
                <c:pt idx="376">
                  <c:v>4.0708328891298856E-2</c:v>
                </c:pt>
                <c:pt idx="377">
                  <c:v>3.7867709047288561E-2</c:v>
                </c:pt>
                <c:pt idx="378">
                  <c:v>5.8901158636905579E-2</c:v>
                </c:pt>
                <c:pt idx="379">
                  <c:v>4.7854426612193954E-2</c:v>
                </c:pt>
                <c:pt idx="380">
                  <c:v>4.3411926225759956E-2</c:v>
                </c:pt>
                <c:pt idx="381">
                  <c:v>5.47877631190858E-2</c:v>
                </c:pt>
                <c:pt idx="382">
                  <c:v>3.8265249294053109E-2</c:v>
                </c:pt>
                <c:pt idx="383">
                  <c:v>4.3332786313110945E-2</c:v>
                </c:pt>
                <c:pt idx="384">
                  <c:v>3.9235069422243564E-2</c:v>
                </c:pt>
                <c:pt idx="385">
                  <c:v>5.8516600568745358E-2</c:v>
                </c:pt>
                <c:pt idx="386">
                  <c:v>4.1775550838289974E-2</c:v>
                </c:pt>
                <c:pt idx="387">
                  <c:v>3.7878111039302158E-2</c:v>
                </c:pt>
                <c:pt idx="388">
                  <c:v>4.7490642681191644E-2</c:v>
                </c:pt>
                <c:pt idx="389">
                  <c:v>4.4829689625118095E-2</c:v>
                </c:pt>
                <c:pt idx="390">
                  <c:v>3.9230249688651672E-2</c:v>
                </c:pt>
                <c:pt idx="391">
                  <c:v>6.0334404781065207E-2</c:v>
                </c:pt>
                <c:pt idx="392">
                  <c:v>4.1111104342228956E-2</c:v>
                </c:pt>
                <c:pt idx="393">
                  <c:v>4.2806369424767315E-2</c:v>
                </c:pt>
                <c:pt idx="394">
                  <c:v>6.6333535906044572E-2</c:v>
                </c:pt>
                <c:pt idx="395">
                  <c:v>5.5063958792763226E-2</c:v>
                </c:pt>
                <c:pt idx="396">
                  <c:v>5.3318192844394194E-2</c:v>
                </c:pt>
                <c:pt idx="397">
                  <c:v>5.1925790434389614E-2</c:v>
                </c:pt>
                <c:pt idx="398">
                  <c:v>6.1693825387947494E-2</c:v>
                </c:pt>
                <c:pt idx="399">
                  <c:v>6.5931213720765366E-2</c:v>
                </c:pt>
                <c:pt idx="400">
                  <c:v>5.4606901421990713E-2</c:v>
                </c:pt>
                <c:pt idx="401">
                  <c:v>4.4915664791078808E-2</c:v>
                </c:pt>
                <c:pt idx="402">
                  <c:v>4.6627454667734991E-2</c:v>
                </c:pt>
                <c:pt idx="403">
                  <c:v>3.7848387657520452E-2</c:v>
                </c:pt>
                <c:pt idx="404">
                  <c:v>5.7714623160442069E-2</c:v>
                </c:pt>
                <c:pt idx="405">
                  <c:v>5.7939851294779091E-2</c:v>
                </c:pt>
                <c:pt idx="406">
                  <c:v>5.1874496838665296E-2</c:v>
                </c:pt>
                <c:pt idx="407">
                  <c:v>5.9171984603971522E-2</c:v>
                </c:pt>
                <c:pt idx="408">
                  <c:v>5.7995983559051625E-2</c:v>
                </c:pt>
                <c:pt idx="409">
                  <c:v>6.4921906778654143E-2</c:v>
                </c:pt>
                <c:pt idx="410">
                  <c:v>4.1884595659834496E-2</c:v>
                </c:pt>
                <c:pt idx="411">
                  <c:v>6.6397646806926475E-2</c:v>
                </c:pt>
                <c:pt idx="412">
                  <c:v>5.6452718657359027E-2</c:v>
                </c:pt>
                <c:pt idx="413">
                  <c:v>3.4090387625338475E-2</c:v>
                </c:pt>
                <c:pt idx="414">
                  <c:v>4.9352340447755196E-2</c:v>
                </c:pt>
                <c:pt idx="415">
                  <c:v>4.4068015216702422E-2</c:v>
                </c:pt>
                <c:pt idx="416">
                  <c:v>5.773195671187005E-2</c:v>
                </c:pt>
                <c:pt idx="417">
                  <c:v>5.4424531703686455E-2</c:v>
                </c:pt>
                <c:pt idx="418">
                  <c:v>5.8635556132813127E-2</c:v>
                </c:pt>
                <c:pt idx="419">
                  <c:v>6.7643313917727099E-2</c:v>
                </c:pt>
                <c:pt idx="420">
                  <c:v>4.8583998720304021E-2</c:v>
                </c:pt>
                <c:pt idx="421">
                  <c:v>6.7736873682159485E-2</c:v>
                </c:pt>
                <c:pt idx="422">
                  <c:v>6.5956035508173458E-2</c:v>
                </c:pt>
                <c:pt idx="423">
                  <c:v>5.2779650420405472E-2</c:v>
                </c:pt>
                <c:pt idx="424">
                  <c:v>4.3125128272283569E-2</c:v>
                </c:pt>
                <c:pt idx="425">
                  <c:v>6.536962613671593E-2</c:v>
                </c:pt>
                <c:pt idx="426">
                  <c:v>3.3265220012158821E-2</c:v>
                </c:pt>
                <c:pt idx="427">
                  <c:v>5.5123960050483006E-2</c:v>
                </c:pt>
                <c:pt idx="428">
                  <c:v>6.6029320188951857E-2</c:v>
                </c:pt>
                <c:pt idx="429">
                  <c:v>4.8383108539699023E-2</c:v>
                </c:pt>
                <c:pt idx="430">
                  <c:v>4.5799905949458319E-2</c:v>
                </c:pt>
                <c:pt idx="431">
                  <c:v>5.0904838088092388E-2</c:v>
                </c:pt>
                <c:pt idx="432">
                  <c:v>4.1936945758758816E-2</c:v>
                </c:pt>
                <c:pt idx="433">
                  <c:v>5.4078035791066272E-2</c:v>
                </c:pt>
                <c:pt idx="434">
                  <c:v>3.5121792470250636E-2</c:v>
                </c:pt>
                <c:pt idx="435">
                  <c:v>5.2588965107444333E-2</c:v>
                </c:pt>
                <c:pt idx="436">
                  <c:v>5.0013010538040303E-2</c:v>
                </c:pt>
                <c:pt idx="437">
                  <c:v>6.601849518548733E-2</c:v>
                </c:pt>
                <c:pt idx="438">
                  <c:v>6.0467971171947424E-2</c:v>
                </c:pt>
                <c:pt idx="439">
                  <c:v>6.5556193543853031E-2</c:v>
                </c:pt>
                <c:pt idx="440">
                  <c:v>4.7808941499510649E-2</c:v>
                </c:pt>
                <c:pt idx="441">
                  <c:v>4.8511769089135598E-2</c:v>
                </c:pt>
                <c:pt idx="442">
                  <c:v>5.4213726488900604E-2</c:v>
                </c:pt>
                <c:pt idx="443">
                  <c:v>6.8902436737510911E-2</c:v>
                </c:pt>
                <c:pt idx="444">
                  <c:v>3.5974746491022669E-2</c:v>
                </c:pt>
                <c:pt idx="445">
                  <c:v>4.2171812534073885E-2</c:v>
                </c:pt>
                <c:pt idx="446">
                  <c:v>4.7440081929017913E-2</c:v>
                </c:pt>
                <c:pt idx="447">
                  <c:v>4.0484783168851485E-2</c:v>
                </c:pt>
                <c:pt idx="448">
                  <c:v>3.8470386399451481E-2</c:v>
                </c:pt>
                <c:pt idx="449">
                  <c:v>4.0812659856012255E-2</c:v>
                </c:pt>
                <c:pt idx="450">
                  <c:v>5.6637044819040736E-2</c:v>
                </c:pt>
                <c:pt idx="451">
                  <c:v>5.1422862748457157E-2</c:v>
                </c:pt>
                <c:pt idx="452">
                  <c:v>3.3938249119395192E-2</c:v>
                </c:pt>
                <c:pt idx="453">
                  <c:v>3.48874986572449E-2</c:v>
                </c:pt>
                <c:pt idx="454">
                  <c:v>5.0210775589650716E-2</c:v>
                </c:pt>
                <c:pt idx="455">
                  <c:v>6.7560049912899239E-2</c:v>
                </c:pt>
                <c:pt idx="456">
                  <c:v>6.8714231956449878E-2</c:v>
                </c:pt>
                <c:pt idx="457">
                  <c:v>6.118947406275E-2</c:v>
                </c:pt>
                <c:pt idx="458">
                  <c:v>4.6890361719190476E-2</c:v>
                </c:pt>
                <c:pt idx="459">
                  <c:v>3.4215441192475354E-2</c:v>
                </c:pt>
                <c:pt idx="460">
                  <c:v>5.0539621884359245E-2</c:v>
                </c:pt>
                <c:pt idx="461">
                  <c:v>4.2246153319469737E-2</c:v>
                </c:pt>
                <c:pt idx="462">
                  <c:v>3.9656211119136552E-2</c:v>
                </c:pt>
                <c:pt idx="463">
                  <c:v>4.6832801425669819E-2</c:v>
                </c:pt>
                <c:pt idx="464">
                  <c:v>5.1354633515951931E-2</c:v>
                </c:pt>
                <c:pt idx="465">
                  <c:v>4.0660875166208657E-2</c:v>
                </c:pt>
                <c:pt idx="466">
                  <c:v>6.3759314198655631E-2</c:v>
                </c:pt>
                <c:pt idx="467">
                  <c:v>6.0511166098256741E-2</c:v>
                </c:pt>
                <c:pt idx="468">
                  <c:v>5.2183799099217616E-2</c:v>
                </c:pt>
                <c:pt idx="469">
                  <c:v>4.717556132626044E-2</c:v>
                </c:pt>
                <c:pt idx="470">
                  <c:v>4.543395357004084E-2</c:v>
                </c:pt>
                <c:pt idx="471">
                  <c:v>6.6964956212836296E-2</c:v>
                </c:pt>
                <c:pt idx="472">
                  <c:v>4.7440281766397266E-2</c:v>
                </c:pt>
                <c:pt idx="473">
                  <c:v>5.3465948946838024E-2</c:v>
                </c:pt>
                <c:pt idx="474">
                  <c:v>6.4297858017962756E-2</c:v>
                </c:pt>
                <c:pt idx="475">
                  <c:v>6.3425594455730067E-2</c:v>
                </c:pt>
                <c:pt idx="476">
                  <c:v>4.4279723402296543E-2</c:v>
                </c:pt>
                <c:pt idx="477">
                  <c:v>6.1904617662015944E-2</c:v>
                </c:pt>
                <c:pt idx="478">
                  <c:v>3.5102564723422741E-2</c:v>
                </c:pt>
                <c:pt idx="479">
                  <c:v>6.4787183929120695E-2</c:v>
                </c:pt>
                <c:pt idx="480">
                  <c:v>6.9150144453750617E-2</c:v>
                </c:pt>
                <c:pt idx="481">
                  <c:v>5.021955838672746E-2</c:v>
                </c:pt>
                <c:pt idx="482">
                  <c:v>4.9435203761808759E-2</c:v>
                </c:pt>
                <c:pt idx="483">
                  <c:v>5.2503257500580665E-2</c:v>
                </c:pt>
                <c:pt idx="484">
                  <c:v>4.7217365764355174E-2</c:v>
                </c:pt>
                <c:pt idx="485">
                  <c:v>6.0108017683861925E-2</c:v>
                </c:pt>
                <c:pt idx="486">
                  <c:v>5.3331328009922296E-2</c:v>
                </c:pt>
                <c:pt idx="487">
                  <c:v>4.5553533832724161E-2</c:v>
                </c:pt>
                <c:pt idx="488">
                  <c:v>4.0492259201365739E-2</c:v>
                </c:pt>
                <c:pt idx="489">
                  <c:v>5.1016928658196903E-2</c:v>
                </c:pt>
                <c:pt idx="490">
                  <c:v>6.7726091863182153E-2</c:v>
                </c:pt>
                <c:pt idx="491">
                  <c:v>5.3934454125599607E-2</c:v>
                </c:pt>
                <c:pt idx="492">
                  <c:v>4.6328815753857652E-2</c:v>
                </c:pt>
                <c:pt idx="493">
                  <c:v>3.4273904395502028E-2</c:v>
                </c:pt>
                <c:pt idx="494">
                  <c:v>6.795626664824081E-2</c:v>
                </c:pt>
                <c:pt idx="495">
                  <c:v>5.377961846841027E-2</c:v>
                </c:pt>
                <c:pt idx="496">
                  <c:v>4.3585729595405152E-2</c:v>
                </c:pt>
                <c:pt idx="497">
                  <c:v>4.9532506758659819E-2</c:v>
                </c:pt>
                <c:pt idx="498">
                  <c:v>4.4491900303289672E-2</c:v>
                </c:pt>
                <c:pt idx="499">
                  <c:v>6.0431393375054515E-2</c:v>
                </c:pt>
                <c:pt idx="500">
                  <c:v>6.272946331275743E-2</c:v>
                </c:pt>
                <c:pt idx="501">
                  <c:v>4.637370286455221E-2</c:v>
                </c:pt>
                <c:pt idx="502">
                  <c:v>4.4095050054268746E-2</c:v>
                </c:pt>
                <c:pt idx="503">
                  <c:v>6.4122099152810211E-2</c:v>
                </c:pt>
                <c:pt idx="504">
                  <c:v>6.0723420931821412E-2</c:v>
                </c:pt>
                <c:pt idx="505">
                  <c:v>5.3352790230270099E-2</c:v>
                </c:pt>
                <c:pt idx="506">
                  <c:v>5.243775189307566E-2</c:v>
                </c:pt>
                <c:pt idx="507">
                  <c:v>4.2502580802391776E-2</c:v>
                </c:pt>
                <c:pt idx="508">
                  <c:v>4.2736794188294347E-2</c:v>
                </c:pt>
                <c:pt idx="509">
                  <c:v>5.9723129027556471E-2</c:v>
                </c:pt>
                <c:pt idx="510">
                  <c:v>5.3652381199599287E-2</c:v>
                </c:pt>
                <c:pt idx="511">
                  <c:v>5.4292215481544767E-2</c:v>
                </c:pt>
                <c:pt idx="512">
                  <c:v>3.6851811842608634E-2</c:v>
                </c:pt>
                <c:pt idx="513">
                  <c:v>3.7192619711486394E-2</c:v>
                </c:pt>
                <c:pt idx="514">
                  <c:v>3.4311925218886374E-2</c:v>
                </c:pt>
                <c:pt idx="515">
                  <c:v>4.9178557444886792E-2</c:v>
                </c:pt>
                <c:pt idx="516">
                  <c:v>3.6946762796856894E-2</c:v>
                </c:pt>
                <c:pt idx="517">
                  <c:v>5.6214447510886362E-2</c:v>
                </c:pt>
                <c:pt idx="518">
                  <c:v>4.8631602217896711E-2</c:v>
                </c:pt>
                <c:pt idx="519">
                  <c:v>6.5548253563464706E-2</c:v>
                </c:pt>
                <c:pt idx="520">
                  <c:v>5.3326880446935329E-2</c:v>
                </c:pt>
                <c:pt idx="521">
                  <c:v>3.1001915381186507E-2</c:v>
                </c:pt>
                <c:pt idx="522">
                  <c:v>6.2897414301650134E-2</c:v>
                </c:pt>
                <c:pt idx="523">
                  <c:v>7.0426923509936692E-2</c:v>
                </c:pt>
                <c:pt idx="524">
                  <c:v>5.9660339500662442E-2</c:v>
                </c:pt>
                <c:pt idx="525">
                  <c:v>4.8027211974242298E-2</c:v>
                </c:pt>
                <c:pt idx="526">
                  <c:v>4.4667055743677797E-2</c:v>
                </c:pt>
                <c:pt idx="527">
                  <c:v>7.0049755678972231E-2</c:v>
                </c:pt>
                <c:pt idx="528">
                  <c:v>3.8645739363209086E-2</c:v>
                </c:pt>
                <c:pt idx="529">
                  <c:v>5.4089257522720958E-2</c:v>
                </c:pt>
                <c:pt idx="530">
                  <c:v>4.162249290280999E-2</c:v>
                </c:pt>
                <c:pt idx="531">
                  <c:v>6.1257956010308284E-2</c:v>
                </c:pt>
                <c:pt idx="532">
                  <c:v>4.3311669726161531E-2</c:v>
                </c:pt>
                <c:pt idx="533">
                  <c:v>5.3267342892682229E-2</c:v>
                </c:pt>
                <c:pt idx="534">
                  <c:v>4.9104687888372425E-2</c:v>
                </c:pt>
                <c:pt idx="535">
                  <c:v>5.4741469799282447E-2</c:v>
                </c:pt>
                <c:pt idx="536">
                  <c:v>4.725509037857395E-2</c:v>
                </c:pt>
                <c:pt idx="537">
                  <c:v>4.554952250822214E-2</c:v>
                </c:pt>
                <c:pt idx="538">
                  <c:v>5.6840251747158343E-2</c:v>
                </c:pt>
                <c:pt idx="539">
                  <c:v>5.3597492093978238E-2</c:v>
                </c:pt>
                <c:pt idx="540">
                  <c:v>5.6768015780970876E-2</c:v>
                </c:pt>
                <c:pt idx="541">
                  <c:v>5.842628590127695E-2</c:v>
                </c:pt>
                <c:pt idx="542">
                  <c:v>3.8287931757045812E-2</c:v>
                </c:pt>
                <c:pt idx="543">
                  <c:v>6.2485947803828185E-2</c:v>
                </c:pt>
                <c:pt idx="544">
                  <c:v>3.6090360663164532E-2</c:v>
                </c:pt>
                <c:pt idx="545">
                  <c:v>5.859382250783772E-2</c:v>
                </c:pt>
                <c:pt idx="546">
                  <c:v>5.9775581063067976E-2</c:v>
                </c:pt>
                <c:pt idx="547">
                  <c:v>5.6784658802241178E-2</c:v>
                </c:pt>
                <c:pt idx="548">
                  <c:v>6.4522756088414901E-2</c:v>
                </c:pt>
                <c:pt idx="549">
                  <c:v>6.2759902817610985E-2</c:v>
                </c:pt>
                <c:pt idx="550">
                  <c:v>3.2629541654468831E-2</c:v>
                </c:pt>
                <c:pt idx="551">
                  <c:v>4.6577326238555053E-2</c:v>
                </c:pt>
                <c:pt idx="552">
                  <c:v>4.4941747046897206E-2</c:v>
                </c:pt>
                <c:pt idx="553">
                  <c:v>5.5969874700456286E-2</c:v>
                </c:pt>
                <c:pt idx="554">
                  <c:v>5.0416158655280201E-2</c:v>
                </c:pt>
                <c:pt idx="555">
                  <c:v>4.9983449028642074E-2</c:v>
                </c:pt>
                <c:pt idx="556">
                  <c:v>4.7580386418305171E-2</c:v>
                </c:pt>
                <c:pt idx="557">
                  <c:v>4.8173776853228378E-2</c:v>
                </c:pt>
                <c:pt idx="558">
                  <c:v>4.4242103241991258E-2</c:v>
                </c:pt>
                <c:pt idx="559">
                  <c:v>4.8931857579901261E-2</c:v>
                </c:pt>
                <c:pt idx="560">
                  <c:v>3.5038644290697432E-2</c:v>
                </c:pt>
                <c:pt idx="561">
                  <c:v>4.8686047877167515E-2</c:v>
                </c:pt>
                <c:pt idx="562">
                  <c:v>5.2111698771570354E-2</c:v>
                </c:pt>
                <c:pt idx="563">
                  <c:v>4.6432387512518492E-2</c:v>
                </c:pt>
                <c:pt idx="564">
                  <c:v>4.0630810249941807E-2</c:v>
                </c:pt>
                <c:pt idx="565">
                  <c:v>5.4568387455185038E-2</c:v>
                </c:pt>
                <c:pt idx="566">
                  <c:v>5.2908991573520026E-2</c:v>
                </c:pt>
                <c:pt idx="567">
                  <c:v>4.9442535354265377E-2</c:v>
                </c:pt>
                <c:pt idx="568">
                  <c:v>4.1966640444455902E-2</c:v>
                </c:pt>
                <c:pt idx="569">
                  <c:v>7.0052017715312054E-2</c:v>
                </c:pt>
                <c:pt idx="570">
                  <c:v>4.9201705577363544E-2</c:v>
                </c:pt>
                <c:pt idx="571">
                  <c:v>5.6176842757672776E-2</c:v>
                </c:pt>
                <c:pt idx="572">
                  <c:v>5.6381784337330432E-2</c:v>
                </c:pt>
                <c:pt idx="573">
                  <c:v>4.2969579802874212E-2</c:v>
                </c:pt>
                <c:pt idx="574">
                  <c:v>4.5219145597877326E-2</c:v>
                </c:pt>
                <c:pt idx="575">
                  <c:v>4.9349457163587726E-2</c:v>
                </c:pt>
                <c:pt idx="576">
                  <c:v>3.3572603234444519E-2</c:v>
                </c:pt>
                <c:pt idx="577">
                  <c:v>4.7138076095587414E-2</c:v>
                </c:pt>
                <c:pt idx="578">
                  <c:v>4.3630709077982451E-2</c:v>
                </c:pt>
                <c:pt idx="579">
                  <c:v>6.0072822962189673E-2</c:v>
                </c:pt>
                <c:pt idx="580">
                  <c:v>3.5761238207709767E-2</c:v>
                </c:pt>
                <c:pt idx="581">
                  <c:v>6.3481582416329396E-2</c:v>
                </c:pt>
                <c:pt idx="582">
                  <c:v>6.6594894214480532E-2</c:v>
                </c:pt>
                <c:pt idx="583">
                  <c:v>6.4702054401710896E-2</c:v>
                </c:pt>
                <c:pt idx="584">
                  <c:v>5.951665657578202E-2</c:v>
                </c:pt>
                <c:pt idx="585">
                  <c:v>5.5733719415292052E-2</c:v>
                </c:pt>
                <c:pt idx="586">
                  <c:v>5.1738234755737827E-2</c:v>
                </c:pt>
                <c:pt idx="587">
                  <c:v>4.5113866219036174E-2</c:v>
                </c:pt>
                <c:pt idx="588">
                  <c:v>3.4376863772728014E-2</c:v>
                </c:pt>
                <c:pt idx="589">
                  <c:v>4.4599042343062806E-2</c:v>
                </c:pt>
                <c:pt idx="590">
                  <c:v>4.5919385973904013E-2</c:v>
                </c:pt>
                <c:pt idx="591">
                  <c:v>6.2336971041674238E-2</c:v>
                </c:pt>
                <c:pt idx="592">
                  <c:v>5.2352875670657002E-2</c:v>
                </c:pt>
                <c:pt idx="593">
                  <c:v>5.2006612858917833E-2</c:v>
                </c:pt>
                <c:pt idx="594">
                  <c:v>6.2555065205010835E-2</c:v>
                </c:pt>
                <c:pt idx="595">
                  <c:v>6.0238523480955972E-2</c:v>
                </c:pt>
                <c:pt idx="596">
                  <c:v>4.2538472158876628E-2</c:v>
                </c:pt>
                <c:pt idx="597">
                  <c:v>5.3207052189895118E-2</c:v>
                </c:pt>
                <c:pt idx="598">
                  <c:v>3.8705467890919838E-2</c:v>
                </c:pt>
                <c:pt idx="599">
                  <c:v>5.7878184253604414E-2</c:v>
                </c:pt>
                <c:pt idx="600">
                  <c:v>3.6611612793897026E-2</c:v>
                </c:pt>
                <c:pt idx="601">
                  <c:v>5.1775775686468503E-2</c:v>
                </c:pt>
                <c:pt idx="602">
                  <c:v>4.9798208544574493E-2</c:v>
                </c:pt>
                <c:pt idx="603">
                  <c:v>5.9127524228689818E-2</c:v>
                </c:pt>
                <c:pt idx="604">
                  <c:v>3.4674239076008868E-2</c:v>
                </c:pt>
                <c:pt idx="605">
                  <c:v>5.310874732751554E-2</c:v>
                </c:pt>
                <c:pt idx="606">
                  <c:v>3.7903607757770047E-2</c:v>
                </c:pt>
                <c:pt idx="607">
                  <c:v>5.0372425027455051E-2</c:v>
                </c:pt>
                <c:pt idx="608">
                  <c:v>6.0597082691166426E-2</c:v>
                </c:pt>
                <c:pt idx="609">
                  <c:v>4.7120344689050325E-2</c:v>
                </c:pt>
                <c:pt idx="610">
                  <c:v>5.4973826041453691E-2</c:v>
                </c:pt>
                <c:pt idx="611">
                  <c:v>3.7963803255268165E-2</c:v>
                </c:pt>
                <c:pt idx="612">
                  <c:v>5.9195132669274904E-2</c:v>
                </c:pt>
                <c:pt idx="613">
                  <c:v>4.8062904100949704E-2</c:v>
                </c:pt>
                <c:pt idx="614">
                  <c:v>5.7017613136643525E-2</c:v>
                </c:pt>
                <c:pt idx="615">
                  <c:v>3.8522733389168111E-2</c:v>
                </c:pt>
                <c:pt idx="616">
                  <c:v>4.4182599474629165E-2</c:v>
                </c:pt>
                <c:pt idx="617">
                  <c:v>7.1305057147567408E-2</c:v>
                </c:pt>
                <c:pt idx="618">
                  <c:v>3.6620860082111413E-2</c:v>
                </c:pt>
                <c:pt idx="619">
                  <c:v>4.2424363530593243E-2</c:v>
                </c:pt>
                <c:pt idx="620">
                  <c:v>4.5426612189763335E-2</c:v>
                </c:pt>
                <c:pt idx="621">
                  <c:v>6.060037711334449E-2</c:v>
                </c:pt>
                <c:pt idx="622">
                  <c:v>6.2787385139268653E-2</c:v>
                </c:pt>
                <c:pt idx="623">
                  <c:v>6.3241937527746206E-2</c:v>
                </c:pt>
                <c:pt idx="624">
                  <c:v>3.820963721802486E-2</c:v>
                </c:pt>
                <c:pt idx="625">
                  <c:v>5.6493359421918833E-2</c:v>
                </c:pt>
                <c:pt idx="626">
                  <c:v>5.5664226840278302E-2</c:v>
                </c:pt>
                <c:pt idx="627">
                  <c:v>5.312596560396679E-2</c:v>
                </c:pt>
                <c:pt idx="628">
                  <c:v>4.2611823478482788E-2</c:v>
                </c:pt>
                <c:pt idx="629">
                  <c:v>4.1733273451516006E-2</c:v>
                </c:pt>
                <c:pt idx="630">
                  <c:v>5.1862563088385723E-2</c:v>
                </c:pt>
                <c:pt idx="631">
                  <c:v>5.0403115308009019E-2</c:v>
                </c:pt>
                <c:pt idx="632">
                  <c:v>6.4704093758127176E-2</c:v>
                </c:pt>
                <c:pt idx="633">
                  <c:v>4.718729365997329E-2</c:v>
                </c:pt>
                <c:pt idx="634">
                  <c:v>5.0620172606767336E-2</c:v>
                </c:pt>
                <c:pt idx="635">
                  <c:v>4.37878722308363E-2</c:v>
                </c:pt>
                <c:pt idx="636">
                  <c:v>6.2000580532229427E-2</c:v>
                </c:pt>
                <c:pt idx="637">
                  <c:v>5.375300822558754E-2</c:v>
                </c:pt>
                <c:pt idx="638">
                  <c:v>6.1658320584280342E-2</c:v>
                </c:pt>
                <c:pt idx="639">
                  <c:v>4.6291937002661536E-2</c:v>
                </c:pt>
                <c:pt idx="640">
                  <c:v>4.0966795337478226E-2</c:v>
                </c:pt>
                <c:pt idx="641">
                  <c:v>6.5410981147850711E-2</c:v>
                </c:pt>
                <c:pt idx="642">
                  <c:v>5.234179981598408E-2</c:v>
                </c:pt>
                <c:pt idx="643">
                  <c:v>6.5024428736504908E-2</c:v>
                </c:pt>
                <c:pt idx="644">
                  <c:v>5.0408499933012586E-2</c:v>
                </c:pt>
                <c:pt idx="645">
                  <c:v>4.4737184312476218E-2</c:v>
                </c:pt>
                <c:pt idx="646">
                  <c:v>4.3594582781121868E-2</c:v>
                </c:pt>
                <c:pt idx="647">
                  <c:v>3.9880587642243837E-2</c:v>
                </c:pt>
                <c:pt idx="648">
                  <c:v>4.9720082528777861E-2</c:v>
                </c:pt>
                <c:pt idx="649">
                  <c:v>4.2791303359461977E-2</c:v>
                </c:pt>
                <c:pt idx="650">
                  <c:v>5.0754745261346726E-2</c:v>
                </c:pt>
                <c:pt idx="651">
                  <c:v>5.1262581438785051E-2</c:v>
                </c:pt>
                <c:pt idx="652">
                  <c:v>4.6865928984855747E-2</c:v>
                </c:pt>
                <c:pt idx="653">
                  <c:v>5.773285515115742E-2</c:v>
                </c:pt>
                <c:pt idx="654">
                  <c:v>3.3410183999819036E-2</c:v>
                </c:pt>
                <c:pt idx="655">
                  <c:v>4.3271347267172265E-2</c:v>
                </c:pt>
                <c:pt idx="656">
                  <c:v>5.1417631414739595E-2</c:v>
                </c:pt>
                <c:pt idx="657">
                  <c:v>4.4472367250095769E-2</c:v>
                </c:pt>
                <c:pt idx="658">
                  <c:v>5.6039301840797834E-2</c:v>
                </c:pt>
                <c:pt idx="659">
                  <c:v>6.2198012887437974E-2</c:v>
                </c:pt>
                <c:pt idx="660">
                  <c:v>3.728088476193641E-2</c:v>
                </c:pt>
                <c:pt idx="661">
                  <c:v>4.9064359018226533E-2</c:v>
                </c:pt>
                <c:pt idx="662">
                  <c:v>4.1616389960861103E-2</c:v>
                </c:pt>
                <c:pt idx="663">
                  <c:v>5.4421926850664132E-2</c:v>
                </c:pt>
                <c:pt idx="664">
                  <c:v>5.4099971177211804E-2</c:v>
                </c:pt>
                <c:pt idx="665">
                  <c:v>4.4047230474196016E-2</c:v>
                </c:pt>
                <c:pt idx="666">
                  <c:v>4.6482789917713735E-2</c:v>
                </c:pt>
                <c:pt idx="667">
                  <c:v>3.9513791927825538E-2</c:v>
                </c:pt>
                <c:pt idx="668">
                  <c:v>6.4001086708185814E-2</c:v>
                </c:pt>
                <c:pt idx="669">
                  <c:v>5.1692259151903036E-2</c:v>
                </c:pt>
                <c:pt idx="670">
                  <c:v>5.9810407739120622E-2</c:v>
                </c:pt>
                <c:pt idx="671">
                  <c:v>5.0672365962391719E-2</c:v>
                </c:pt>
                <c:pt idx="672">
                  <c:v>4.3558379925151144E-2</c:v>
                </c:pt>
                <c:pt idx="673">
                  <c:v>4.1445412199996284E-2</c:v>
                </c:pt>
                <c:pt idx="674">
                  <c:v>4.3021341894312115E-2</c:v>
                </c:pt>
                <c:pt idx="675">
                  <c:v>5.4565215092821751E-2</c:v>
                </c:pt>
                <c:pt idx="676">
                  <c:v>5.6255178917947929E-2</c:v>
                </c:pt>
                <c:pt idx="677">
                  <c:v>5.2440769063277055E-2</c:v>
                </c:pt>
                <c:pt idx="678">
                  <c:v>4.1569137622031037E-2</c:v>
                </c:pt>
                <c:pt idx="679">
                  <c:v>5.548476186045756E-2</c:v>
                </c:pt>
                <c:pt idx="680">
                  <c:v>5.154693669424236E-2</c:v>
                </c:pt>
                <c:pt idx="681">
                  <c:v>4.1157208094646028E-2</c:v>
                </c:pt>
                <c:pt idx="682">
                  <c:v>7.2249680368216773E-2</c:v>
                </c:pt>
                <c:pt idx="683">
                  <c:v>5.8475984727992078E-2</c:v>
                </c:pt>
                <c:pt idx="684">
                  <c:v>4.1162458596354194E-2</c:v>
                </c:pt>
                <c:pt idx="685">
                  <c:v>4.3697171060470601E-2</c:v>
                </c:pt>
                <c:pt idx="686">
                  <c:v>3.6861730785176627E-2</c:v>
                </c:pt>
                <c:pt idx="687">
                  <c:v>5.1784786794048271E-2</c:v>
                </c:pt>
                <c:pt idx="688">
                  <c:v>6.4444609215039195E-2</c:v>
                </c:pt>
                <c:pt idx="689">
                  <c:v>5.962965130345188E-2</c:v>
                </c:pt>
                <c:pt idx="690">
                  <c:v>5.731593147814032E-2</c:v>
                </c:pt>
                <c:pt idx="691">
                  <c:v>3.4962337210545646E-2</c:v>
                </c:pt>
                <c:pt idx="692">
                  <c:v>4.6238464592567016E-2</c:v>
                </c:pt>
                <c:pt idx="693">
                  <c:v>4.66232251816871E-2</c:v>
                </c:pt>
                <c:pt idx="694">
                  <c:v>4.8460638148790369E-2</c:v>
                </c:pt>
                <c:pt idx="695">
                  <c:v>6.314644788244328E-2</c:v>
                </c:pt>
                <c:pt idx="696">
                  <c:v>3.8577140838247349E-2</c:v>
                </c:pt>
                <c:pt idx="697">
                  <c:v>6.1903580099436882E-2</c:v>
                </c:pt>
                <c:pt idx="698">
                  <c:v>4.7374188782652371E-2</c:v>
                </c:pt>
                <c:pt idx="699">
                  <c:v>5.2292072793917829E-2</c:v>
                </c:pt>
                <c:pt idx="700">
                  <c:v>3.1438175289822658E-2</c:v>
                </c:pt>
                <c:pt idx="701">
                  <c:v>6.2856080505512252E-2</c:v>
                </c:pt>
                <c:pt idx="702">
                  <c:v>5.4644492965154168E-2</c:v>
                </c:pt>
                <c:pt idx="703">
                  <c:v>6.7706870406218492E-2</c:v>
                </c:pt>
                <c:pt idx="704">
                  <c:v>4.3023309706676387E-2</c:v>
                </c:pt>
                <c:pt idx="705">
                  <c:v>6.116153767455694E-2</c:v>
                </c:pt>
                <c:pt idx="706">
                  <c:v>5.4658016458678862E-2</c:v>
                </c:pt>
                <c:pt idx="707">
                  <c:v>6.2303113360514834E-2</c:v>
                </c:pt>
                <c:pt idx="708">
                  <c:v>4.6543740639097303E-2</c:v>
                </c:pt>
                <c:pt idx="709">
                  <c:v>3.9377648494079237E-2</c:v>
                </c:pt>
                <c:pt idx="710">
                  <c:v>3.6801799776107577E-2</c:v>
                </c:pt>
                <c:pt idx="711">
                  <c:v>5.5403063002024244E-2</c:v>
                </c:pt>
                <c:pt idx="712">
                  <c:v>5.7567636508497978E-2</c:v>
                </c:pt>
                <c:pt idx="713">
                  <c:v>5.695121767289138E-2</c:v>
                </c:pt>
                <c:pt idx="714">
                  <c:v>5.8733066859564323E-2</c:v>
                </c:pt>
                <c:pt idx="715">
                  <c:v>5.4242438837892128E-2</c:v>
                </c:pt>
                <c:pt idx="716">
                  <c:v>4.8813197731734911E-2</c:v>
                </c:pt>
                <c:pt idx="717">
                  <c:v>6.0145013083424653E-2</c:v>
                </c:pt>
                <c:pt idx="718">
                  <c:v>5.6976279935250292E-2</c:v>
                </c:pt>
                <c:pt idx="719">
                  <c:v>3.5954751869718096E-2</c:v>
                </c:pt>
                <c:pt idx="720">
                  <c:v>5.3557212798120313E-2</c:v>
                </c:pt>
                <c:pt idx="721">
                  <c:v>5.9105402663632248E-2</c:v>
                </c:pt>
                <c:pt idx="722">
                  <c:v>6.9559552353079701E-2</c:v>
                </c:pt>
                <c:pt idx="723">
                  <c:v>5.7832976014665555E-2</c:v>
                </c:pt>
                <c:pt idx="724">
                  <c:v>4.6060309700205221E-2</c:v>
                </c:pt>
                <c:pt idx="725">
                  <c:v>4.4811870643026296E-2</c:v>
                </c:pt>
                <c:pt idx="726">
                  <c:v>4.6332788889369328E-2</c:v>
                </c:pt>
                <c:pt idx="727">
                  <c:v>4.4735763743058987E-2</c:v>
                </c:pt>
                <c:pt idx="728">
                  <c:v>4.383084271280354E-2</c:v>
                </c:pt>
                <c:pt idx="729">
                  <c:v>5.4860829985127257E-2</c:v>
                </c:pt>
                <c:pt idx="730">
                  <c:v>5.6015356731756435E-2</c:v>
                </c:pt>
                <c:pt idx="731">
                  <c:v>4.7190672555935481E-2</c:v>
                </c:pt>
                <c:pt idx="732">
                  <c:v>5.9405654679873521E-2</c:v>
                </c:pt>
                <c:pt idx="733">
                  <c:v>6.0034609181966542E-2</c:v>
                </c:pt>
                <c:pt idx="734">
                  <c:v>5.1607743620995822E-2</c:v>
                </c:pt>
                <c:pt idx="735">
                  <c:v>4.9859510888961296E-2</c:v>
                </c:pt>
                <c:pt idx="736">
                  <c:v>5.4382295481878645E-2</c:v>
                </c:pt>
                <c:pt idx="737">
                  <c:v>5.9539774949708663E-2</c:v>
                </c:pt>
                <c:pt idx="738">
                  <c:v>3.6699156183588683E-2</c:v>
                </c:pt>
                <c:pt idx="739">
                  <c:v>7.2777772640870791E-2</c:v>
                </c:pt>
                <c:pt idx="740">
                  <c:v>4.9858285943030406E-2</c:v>
                </c:pt>
                <c:pt idx="741">
                  <c:v>4.5959632051846867E-2</c:v>
                </c:pt>
                <c:pt idx="742">
                  <c:v>6.9390247122159132E-2</c:v>
                </c:pt>
                <c:pt idx="743">
                  <c:v>4.1101838550555193E-2</c:v>
                </c:pt>
                <c:pt idx="744">
                  <c:v>4.7573541361375433E-2</c:v>
                </c:pt>
                <c:pt idx="745">
                  <c:v>6.4564642389755539E-2</c:v>
                </c:pt>
                <c:pt idx="746">
                  <c:v>5.2709235652011563E-2</c:v>
                </c:pt>
                <c:pt idx="747">
                  <c:v>5.2375296898402604E-2</c:v>
                </c:pt>
                <c:pt idx="748">
                  <c:v>4.8946147772246651E-2</c:v>
                </c:pt>
                <c:pt idx="749">
                  <c:v>7.0167877616910151E-2</c:v>
                </c:pt>
                <c:pt idx="750">
                  <c:v>6.9183105882928003E-2</c:v>
                </c:pt>
                <c:pt idx="751">
                  <c:v>5.4982735667812449E-2</c:v>
                </c:pt>
                <c:pt idx="752">
                  <c:v>4.3110939895349865E-2</c:v>
                </c:pt>
                <c:pt idx="753">
                  <c:v>7.3717492699448092E-2</c:v>
                </c:pt>
                <c:pt idx="754">
                  <c:v>7.3389135740436692E-2</c:v>
                </c:pt>
                <c:pt idx="755">
                  <c:v>5.2495873106535695E-2</c:v>
                </c:pt>
                <c:pt idx="756">
                  <c:v>5.5631346907402582E-2</c:v>
                </c:pt>
                <c:pt idx="757">
                  <c:v>5.197238930154497E-2</c:v>
                </c:pt>
                <c:pt idx="758">
                  <c:v>6.0495647670514074E-2</c:v>
                </c:pt>
                <c:pt idx="759">
                  <c:v>4.0825533741618618E-2</c:v>
                </c:pt>
                <c:pt idx="760">
                  <c:v>5.0174217318224829E-2</c:v>
                </c:pt>
                <c:pt idx="761">
                  <c:v>4.7470318473296177E-2</c:v>
                </c:pt>
                <c:pt idx="762">
                  <c:v>6.3839701720312281E-2</c:v>
                </c:pt>
                <c:pt idx="763">
                  <c:v>3.5304135121604678E-2</c:v>
                </c:pt>
                <c:pt idx="764">
                  <c:v>5.217200454765103E-2</c:v>
                </c:pt>
                <c:pt idx="765">
                  <c:v>4.1713486836816638E-2</c:v>
                </c:pt>
                <c:pt idx="766">
                  <c:v>5.3337084492920753E-2</c:v>
                </c:pt>
                <c:pt idx="767">
                  <c:v>5.8282362835113163E-2</c:v>
                </c:pt>
                <c:pt idx="768">
                  <c:v>6.5482002788690707E-2</c:v>
                </c:pt>
                <c:pt idx="769">
                  <c:v>3.56419733642932E-2</c:v>
                </c:pt>
                <c:pt idx="770">
                  <c:v>4.6343537780886193E-2</c:v>
                </c:pt>
                <c:pt idx="771">
                  <c:v>4.776005347348028E-2</c:v>
                </c:pt>
                <c:pt idx="772">
                  <c:v>5.7655242804762127E-2</c:v>
                </c:pt>
                <c:pt idx="773">
                  <c:v>6.2664360226521859E-2</c:v>
                </c:pt>
                <c:pt idx="774">
                  <c:v>6.0352267606079431E-2</c:v>
                </c:pt>
                <c:pt idx="775">
                  <c:v>5.6621722884424699E-2</c:v>
                </c:pt>
                <c:pt idx="776">
                  <c:v>5.0749091833146513E-2</c:v>
                </c:pt>
                <c:pt idx="777">
                  <c:v>5.6569396940383432E-2</c:v>
                </c:pt>
                <c:pt idx="778">
                  <c:v>5.094647191311058E-2</c:v>
                </c:pt>
                <c:pt idx="779">
                  <c:v>4.2652437870568161E-2</c:v>
                </c:pt>
                <c:pt idx="780">
                  <c:v>6.1766515001572549E-2</c:v>
                </c:pt>
                <c:pt idx="781">
                  <c:v>4.9748295000198506E-2</c:v>
                </c:pt>
                <c:pt idx="782">
                  <c:v>5.2749398729659225E-2</c:v>
                </c:pt>
                <c:pt idx="783">
                  <c:v>5.3454046173382813E-2</c:v>
                </c:pt>
                <c:pt idx="784">
                  <c:v>4.5104522852845101E-2</c:v>
                </c:pt>
                <c:pt idx="785">
                  <c:v>7.2611320076545152E-2</c:v>
                </c:pt>
                <c:pt idx="786">
                  <c:v>5.0924607155575959E-2</c:v>
                </c:pt>
                <c:pt idx="787">
                  <c:v>4.313753352179435E-2</c:v>
                </c:pt>
                <c:pt idx="788">
                  <c:v>4.5274462475975885E-2</c:v>
                </c:pt>
                <c:pt idx="789">
                  <c:v>4.4463552395504397E-2</c:v>
                </c:pt>
                <c:pt idx="790">
                  <c:v>4.3798475473826384E-2</c:v>
                </c:pt>
                <c:pt idx="791">
                  <c:v>4.4883297575284059E-2</c:v>
                </c:pt>
                <c:pt idx="792">
                  <c:v>5.5272317248569042E-2</c:v>
                </c:pt>
                <c:pt idx="793">
                  <c:v>5.843125104662962E-2</c:v>
                </c:pt>
                <c:pt idx="794">
                  <c:v>6.5702302819277539E-2</c:v>
                </c:pt>
                <c:pt idx="795">
                  <c:v>5.0143398211947202E-2</c:v>
                </c:pt>
                <c:pt idx="796">
                  <c:v>4.302971997968507E-2</c:v>
                </c:pt>
                <c:pt idx="797">
                  <c:v>3.7363436337426031E-2</c:v>
                </c:pt>
                <c:pt idx="798">
                  <c:v>6.3474596319045312E-2</c:v>
                </c:pt>
                <c:pt idx="799">
                  <c:v>5.1498207544740632E-2</c:v>
                </c:pt>
                <c:pt idx="800">
                  <c:v>5.0374990729549152E-2</c:v>
                </c:pt>
                <c:pt idx="801">
                  <c:v>4.3388045938818454E-2</c:v>
                </c:pt>
                <c:pt idx="802">
                  <c:v>5.7618611633487332E-2</c:v>
                </c:pt>
                <c:pt idx="803">
                  <c:v>6.0108041630091959E-2</c:v>
                </c:pt>
                <c:pt idx="804">
                  <c:v>4.6032408118125485E-2</c:v>
                </c:pt>
                <c:pt idx="805">
                  <c:v>4.5878514035238294E-2</c:v>
                </c:pt>
                <c:pt idx="806">
                  <c:v>5.0984151325006583E-2</c:v>
                </c:pt>
                <c:pt idx="807">
                  <c:v>3.5419298498538698E-2</c:v>
                </c:pt>
                <c:pt idx="808">
                  <c:v>4.31302683883358E-2</c:v>
                </c:pt>
                <c:pt idx="809">
                  <c:v>5.3778274508441373E-2</c:v>
                </c:pt>
                <c:pt idx="810">
                  <c:v>3.8935750058840465E-2</c:v>
                </c:pt>
                <c:pt idx="811">
                  <c:v>6.1867324311140399E-2</c:v>
                </c:pt>
                <c:pt idx="812">
                  <c:v>4.1894214261999477E-2</c:v>
                </c:pt>
                <c:pt idx="813">
                  <c:v>4.8144960049407479E-2</c:v>
                </c:pt>
                <c:pt idx="814">
                  <c:v>5.1352540091343692E-2</c:v>
                </c:pt>
                <c:pt idx="815">
                  <c:v>5.8420900252282415E-2</c:v>
                </c:pt>
                <c:pt idx="816">
                  <c:v>5.9710734841776969E-2</c:v>
                </c:pt>
                <c:pt idx="817">
                  <c:v>5.1567560276733128E-2</c:v>
                </c:pt>
                <c:pt idx="818">
                  <c:v>6.4688943196906434E-2</c:v>
                </c:pt>
                <c:pt idx="819">
                  <c:v>5.2359075820851947E-2</c:v>
                </c:pt>
                <c:pt idx="820">
                  <c:v>4.3620269141062193E-2</c:v>
                </c:pt>
                <c:pt idx="821">
                  <c:v>6.8537664348310157E-2</c:v>
                </c:pt>
                <c:pt idx="822">
                  <c:v>5.8038525440393736E-2</c:v>
                </c:pt>
                <c:pt idx="823">
                  <c:v>6.0304995355410132E-2</c:v>
                </c:pt>
                <c:pt idx="824">
                  <c:v>4.4757023257447688E-2</c:v>
                </c:pt>
                <c:pt idx="825">
                  <c:v>3.5788887167192501E-2</c:v>
                </c:pt>
                <c:pt idx="826">
                  <c:v>5.2983139016600872E-2</c:v>
                </c:pt>
                <c:pt idx="827">
                  <c:v>5.7131697527410361E-2</c:v>
                </c:pt>
                <c:pt idx="828">
                  <c:v>4.071437906896487E-2</c:v>
                </c:pt>
                <c:pt idx="829">
                  <c:v>5.0353846615316472E-2</c:v>
                </c:pt>
                <c:pt idx="830">
                  <c:v>4.7907761355369449E-2</c:v>
                </c:pt>
                <c:pt idx="831">
                  <c:v>6.7526812521062712E-2</c:v>
                </c:pt>
                <c:pt idx="832">
                  <c:v>3.8673570806693966E-2</c:v>
                </c:pt>
                <c:pt idx="833">
                  <c:v>4.3678425941621996E-2</c:v>
                </c:pt>
                <c:pt idx="834">
                  <c:v>5.1424553046517149E-2</c:v>
                </c:pt>
                <c:pt idx="835">
                  <c:v>4.5024112350904845E-2</c:v>
                </c:pt>
                <c:pt idx="836">
                  <c:v>5.6673970581846651E-2</c:v>
                </c:pt>
                <c:pt idx="837">
                  <c:v>3.860940039171027E-2</c:v>
                </c:pt>
                <c:pt idx="838">
                  <c:v>5.014346572205805E-2</c:v>
                </c:pt>
                <c:pt idx="839">
                  <c:v>4.9399798178151225E-2</c:v>
                </c:pt>
                <c:pt idx="840">
                  <c:v>4.7619386670309474E-2</c:v>
                </c:pt>
                <c:pt idx="841">
                  <c:v>3.9804782669215312E-2</c:v>
                </c:pt>
                <c:pt idx="842">
                  <c:v>6.0758064837264911E-2</c:v>
                </c:pt>
                <c:pt idx="843">
                  <c:v>5.4902822576156723E-2</c:v>
                </c:pt>
                <c:pt idx="844">
                  <c:v>3.6708548962105618E-2</c:v>
                </c:pt>
                <c:pt idx="845">
                  <c:v>6.0268111590792213E-2</c:v>
                </c:pt>
                <c:pt idx="846">
                  <c:v>4.8325433230340185E-2</c:v>
                </c:pt>
                <c:pt idx="847">
                  <c:v>5.6746491294205573E-2</c:v>
                </c:pt>
                <c:pt idx="848">
                  <c:v>5.0183978066743018E-2</c:v>
                </c:pt>
                <c:pt idx="849">
                  <c:v>5.8967971778295908E-2</c:v>
                </c:pt>
                <c:pt idx="850">
                  <c:v>5.7961254413126669E-2</c:v>
                </c:pt>
                <c:pt idx="851">
                  <c:v>4.711400964969846E-2</c:v>
                </c:pt>
                <c:pt idx="852">
                  <c:v>6.5024509331884417E-2</c:v>
                </c:pt>
                <c:pt idx="853">
                  <c:v>6.1951376288106028E-2</c:v>
                </c:pt>
                <c:pt idx="854">
                  <c:v>4.5318725616729311E-2</c:v>
                </c:pt>
                <c:pt idx="855">
                  <c:v>4.9403733632844851E-2</c:v>
                </c:pt>
                <c:pt idx="856">
                  <c:v>6.0825540886039989E-2</c:v>
                </c:pt>
                <c:pt idx="857">
                  <c:v>6.1067451590920925E-2</c:v>
                </c:pt>
                <c:pt idx="858">
                  <c:v>5.5547745712475158E-2</c:v>
                </c:pt>
                <c:pt idx="859">
                  <c:v>5.4696965775604796E-2</c:v>
                </c:pt>
                <c:pt idx="860">
                  <c:v>3.3751446975245777E-2</c:v>
                </c:pt>
                <c:pt idx="861">
                  <c:v>4.1116866963804996E-2</c:v>
                </c:pt>
                <c:pt idx="862">
                  <c:v>5.794909298893694E-2</c:v>
                </c:pt>
                <c:pt idx="863">
                  <c:v>3.8464064651583189E-2</c:v>
                </c:pt>
                <c:pt idx="864">
                  <c:v>5.4055474474291626E-2</c:v>
                </c:pt>
                <c:pt idx="865">
                  <c:v>3.4574527076652095E-2</c:v>
                </c:pt>
                <c:pt idx="866">
                  <c:v>5.6242668706152701E-2</c:v>
                </c:pt>
                <c:pt idx="867">
                  <c:v>3.788782099176425E-2</c:v>
                </c:pt>
                <c:pt idx="868">
                  <c:v>5.3519008874715251E-2</c:v>
                </c:pt>
                <c:pt idx="869">
                  <c:v>5.0185567769606101E-2</c:v>
                </c:pt>
                <c:pt idx="870">
                  <c:v>5.3235044573376883E-2</c:v>
                </c:pt>
                <c:pt idx="871">
                  <c:v>3.9978917665613109E-2</c:v>
                </c:pt>
                <c:pt idx="872">
                  <c:v>4.7612509980330842E-2</c:v>
                </c:pt>
                <c:pt idx="873">
                  <c:v>3.5433787506499385E-2</c:v>
                </c:pt>
                <c:pt idx="874">
                  <c:v>6.8470196632493319E-2</c:v>
                </c:pt>
                <c:pt idx="875">
                  <c:v>5.8586482882462057E-2</c:v>
                </c:pt>
                <c:pt idx="876">
                  <c:v>7.2027599358218924E-2</c:v>
                </c:pt>
                <c:pt idx="877">
                  <c:v>4.851110518903172E-2</c:v>
                </c:pt>
                <c:pt idx="878">
                  <c:v>4.8307107158332904E-2</c:v>
                </c:pt>
                <c:pt idx="879">
                  <c:v>5.8324960624556721E-2</c:v>
                </c:pt>
                <c:pt idx="880">
                  <c:v>6.15523270501439E-2</c:v>
                </c:pt>
                <c:pt idx="881">
                  <c:v>5.0023580634049054E-2</c:v>
                </c:pt>
                <c:pt idx="882">
                  <c:v>7.1198129621130452E-2</c:v>
                </c:pt>
                <c:pt idx="883">
                  <c:v>4.9962813085732437E-2</c:v>
                </c:pt>
                <c:pt idx="884">
                  <c:v>5.3557042708491265E-2</c:v>
                </c:pt>
                <c:pt idx="885">
                  <c:v>5.0696823353463608E-2</c:v>
                </c:pt>
                <c:pt idx="886">
                  <c:v>5.5974085455983077E-2</c:v>
                </c:pt>
                <c:pt idx="887">
                  <c:v>5.0590020404875952E-2</c:v>
                </c:pt>
                <c:pt idx="888">
                  <c:v>3.8829379880173348E-2</c:v>
                </c:pt>
                <c:pt idx="889">
                  <c:v>6.0275501761806738E-2</c:v>
                </c:pt>
                <c:pt idx="890">
                  <c:v>7.3018044439873281E-2</c:v>
                </c:pt>
                <c:pt idx="891">
                  <c:v>4.8710117814805484E-2</c:v>
                </c:pt>
                <c:pt idx="892">
                  <c:v>5.942583639828955E-2</c:v>
                </c:pt>
                <c:pt idx="893">
                  <c:v>6.4748309154895017E-2</c:v>
                </c:pt>
                <c:pt idx="894">
                  <c:v>7.3865677762167681E-2</c:v>
                </c:pt>
                <c:pt idx="895">
                  <c:v>3.6131825437845815E-2</c:v>
                </c:pt>
                <c:pt idx="896">
                  <c:v>5.5471838637462662E-2</c:v>
                </c:pt>
                <c:pt idx="897">
                  <c:v>5.9230444342206104E-2</c:v>
                </c:pt>
                <c:pt idx="898">
                  <c:v>3.615737487701106E-2</c:v>
                </c:pt>
                <c:pt idx="899">
                  <c:v>4.0458579879830057E-2</c:v>
                </c:pt>
                <c:pt idx="900">
                  <c:v>5.7433329088854963E-2</c:v>
                </c:pt>
                <c:pt idx="901">
                  <c:v>5.4473019961721228E-2</c:v>
                </c:pt>
                <c:pt idx="902">
                  <c:v>5.6484440823511756E-2</c:v>
                </c:pt>
                <c:pt idx="903">
                  <c:v>3.3624784138198673E-2</c:v>
                </c:pt>
                <c:pt idx="904">
                  <c:v>5.4202792644752737E-2</c:v>
                </c:pt>
                <c:pt idx="905">
                  <c:v>5.2297051696358593E-2</c:v>
                </c:pt>
                <c:pt idx="906">
                  <c:v>3.9690000673129736E-2</c:v>
                </c:pt>
                <c:pt idx="907">
                  <c:v>3.2211556683551669E-2</c:v>
                </c:pt>
                <c:pt idx="908">
                  <c:v>4.5411574723967951E-2</c:v>
                </c:pt>
                <c:pt idx="909">
                  <c:v>6.7820087507962118E-2</c:v>
                </c:pt>
                <c:pt idx="910">
                  <c:v>5.9311440011612135E-2</c:v>
                </c:pt>
                <c:pt idx="911">
                  <c:v>6.4787720306627328E-2</c:v>
                </c:pt>
                <c:pt idx="912">
                  <c:v>6.3983313847154943E-2</c:v>
                </c:pt>
                <c:pt idx="913">
                  <c:v>6.0012030427558927E-2</c:v>
                </c:pt>
                <c:pt idx="914">
                  <c:v>5.1553233485772343E-2</c:v>
                </c:pt>
                <c:pt idx="915">
                  <c:v>6.5350058266518074E-2</c:v>
                </c:pt>
                <c:pt idx="916">
                  <c:v>5.7327715755109865E-2</c:v>
                </c:pt>
                <c:pt idx="917">
                  <c:v>4.1193489591367954E-2</c:v>
                </c:pt>
                <c:pt idx="918">
                  <c:v>3.8435112049639411E-2</c:v>
                </c:pt>
                <c:pt idx="919">
                  <c:v>4.1621595782830138E-2</c:v>
                </c:pt>
                <c:pt idx="920">
                  <c:v>5.4383391588457966E-2</c:v>
                </c:pt>
                <c:pt idx="921">
                  <c:v>4.262000134393161E-2</c:v>
                </c:pt>
                <c:pt idx="922">
                  <c:v>6.1618436536321985E-2</c:v>
                </c:pt>
                <c:pt idx="923">
                  <c:v>5.4584557359730557E-2</c:v>
                </c:pt>
                <c:pt idx="924">
                  <c:v>5.6722376736613192E-2</c:v>
                </c:pt>
                <c:pt idx="925">
                  <c:v>6.4810230084558024E-2</c:v>
                </c:pt>
                <c:pt idx="926">
                  <c:v>5.273682114708729E-2</c:v>
                </c:pt>
                <c:pt idx="927">
                  <c:v>7.2657543915540523E-2</c:v>
                </c:pt>
                <c:pt idx="928">
                  <c:v>6.2612896914924582E-2</c:v>
                </c:pt>
                <c:pt idx="929">
                  <c:v>5.718533208778008E-2</c:v>
                </c:pt>
                <c:pt idx="930">
                  <c:v>5.8272044064632794E-2</c:v>
                </c:pt>
                <c:pt idx="931">
                  <c:v>5.7835269672326411E-2</c:v>
                </c:pt>
                <c:pt idx="932">
                  <c:v>4.4951695304240737E-2</c:v>
                </c:pt>
                <c:pt idx="933">
                  <c:v>6.5005049986092633E-2</c:v>
                </c:pt>
                <c:pt idx="934">
                  <c:v>7.7672798355920392E-2</c:v>
                </c:pt>
                <c:pt idx="935">
                  <c:v>4.8670071263748879E-2</c:v>
                </c:pt>
                <c:pt idx="936">
                  <c:v>5.3240765301614437E-2</c:v>
                </c:pt>
                <c:pt idx="937">
                  <c:v>4.4525571806713196E-2</c:v>
                </c:pt>
                <c:pt idx="938">
                  <c:v>5.50525178161149E-2</c:v>
                </c:pt>
                <c:pt idx="939">
                  <c:v>4.2154322663420396E-2</c:v>
                </c:pt>
                <c:pt idx="940">
                  <c:v>5.1002359114824258E-2</c:v>
                </c:pt>
                <c:pt idx="941">
                  <c:v>4.0220167126567147E-2</c:v>
                </c:pt>
                <c:pt idx="942">
                  <c:v>6.3943331019201244E-2</c:v>
                </c:pt>
                <c:pt idx="943">
                  <c:v>6.0628822474668331E-2</c:v>
                </c:pt>
                <c:pt idx="944">
                  <c:v>6.3220726706103736E-2</c:v>
                </c:pt>
                <c:pt idx="945">
                  <c:v>4.1237560905716023E-2</c:v>
                </c:pt>
                <c:pt idx="946">
                  <c:v>6.2032953801559251E-2</c:v>
                </c:pt>
                <c:pt idx="947">
                  <c:v>4.4944455067776688E-2</c:v>
                </c:pt>
                <c:pt idx="948">
                  <c:v>5.530013742283256E-2</c:v>
                </c:pt>
                <c:pt idx="949">
                  <c:v>6.0876372323706199E-2</c:v>
                </c:pt>
                <c:pt idx="950">
                  <c:v>5.3563206622276545E-2</c:v>
                </c:pt>
                <c:pt idx="951">
                  <c:v>4.6245612020446282E-2</c:v>
                </c:pt>
                <c:pt idx="952">
                  <c:v>4.5436948187580033E-2</c:v>
                </c:pt>
                <c:pt idx="953">
                  <c:v>7.1241397130947737E-2</c:v>
                </c:pt>
                <c:pt idx="954">
                  <c:v>7.3070260450053992E-2</c:v>
                </c:pt>
                <c:pt idx="955">
                  <c:v>4.5011687802261342E-2</c:v>
                </c:pt>
                <c:pt idx="956">
                  <c:v>6.0146694893517635E-2</c:v>
                </c:pt>
                <c:pt idx="957">
                  <c:v>5.2164524589899126E-2</c:v>
                </c:pt>
                <c:pt idx="958">
                  <c:v>5.1316670681305056E-2</c:v>
                </c:pt>
                <c:pt idx="959">
                  <c:v>4.6352342487732054E-2</c:v>
                </c:pt>
                <c:pt idx="960">
                  <c:v>5.9176708777670603E-2</c:v>
                </c:pt>
                <c:pt idx="961">
                  <c:v>6.5089122134122629E-2</c:v>
                </c:pt>
                <c:pt idx="962">
                  <c:v>4.0406554911722015E-2</c:v>
                </c:pt>
                <c:pt idx="963">
                  <c:v>4.7760414736362021E-2</c:v>
                </c:pt>
                <c:pt idx="964">
                  <c:v>6.5695198234285601E-2</c:v>
                </c:pt>
                <c:pt idx="965">
                  <c:v>4.9530302492834716E-2</c:v>
                </c:pt>
                <c:pt idx="966">
                  <c:v>3.6647352585511814E-2</c:v>
                </c:pt>
                <c:pt idx="967">
                  <c:v>5.1597988381096416E-2</c:v>
                </c:pt>
                <c:pt idx="968">
                  <c:v>4.3895450595911059E-2</c:v>
                </c:pt>
                <c:pt idx="969">
                  <c:v>6.6876936240665499E-2</c:v>
                </c:pt>
                <c:pt idx="970">
                  <c:v>6.1811056017545572E-2</c:v>
                </c:pt>
                <c:pt idx="971">
                  <c:v>3.5684432150113077E-2</c:v>
                </c:pt>
                <c:pt idx="972">
                  <c:v>4.6107168323729658E-2</c:v>
                </c:pt>
                <c:pt idx="973">
                  <c:v>5.7364221475662114E-2</c:v>
                </c:pt>
                <c:pt idx="974">
                  <c:v>5.0860970018659482E-2</c:v>
                </c:pt>
                <c:pt idx="975">
                  <c:v>6.4026567091222591E-2</c:v>
                </c:pt>
                <c:pt idx="976">
                  <c:v>5.5367067371397516E-2</c:v>
                </c:pt>
                <c:pt idx="977">
                  <c:v>3.5393122693974391E-2</c:v>
                </c:pt>
                <c:pt idx="978">
                  <c:v>4.1135564521084439E-2</c:v>
                </c:pt>
                <c:pt idx="979">
                  <c:v>5.1856324078963859E-2</c:v>
                </c:pt>
                <c:pt idx="980">
                  <c:v>4.6113435387041504E-2</c:v>
                </c:pt>
                <c:pt idx="981">
                  <c:v>4.6667598096245766E-2</c:v>
                </c:pt>
                <c:pt idx="982">
                  <c:v>6.3820387656425059E-2</c:v>
                </c:pt>
                <c:pt idx="983">
                  <c:v>6.2537666197361036E-2</c:v>
                </c:pt>
                <c:pt idx="984">
                  <c:v>6.3816478767081408E-2</c:v>
                </c:pt>
                <c:pt idx="985">
                  <c:v>5.2829763966383725E-2</c:v>
                </c:pt>
                <c:pt idx="986">
                  <c:v>5.1675315758575632E-2</c:v>
                </c:pt>
                <c:pt idx="987">
                  <c:v>5.6547896071226789E-2</c:v>
                </c:pt>
                <c:pt idx="988">
                  <c:v>4.5024557680186164E-2</c:v>
                </c:pt>
                <c:pt idx="989">
                  <c:v>5.0035342651536134E-2</c:v>
                </c:pt>
                <c:pt idx="990">
                  <c:v>6.3498211592674436E-2</c:v>
                </c:pt>
                <c:pt idx="991">
                  <c:v>5.4748033084253855E-2</c:v>
                </c:pt>
                <c:pt idx="992">
                  <c:v>5.12204018857874E-2</c:v>
                </c:pt>
                <c:pt idx="993">
                  <c:v>4.5676449727721044E-2</c:v>
                </c:pt>
                <c:pt idx="994">
                  <c:v>4.6870132403755552E-2</c:v>
                </c:pt>
                <c:pt idx="995">
                  <c:v>3.3476608865053478E-2</c:v>
                </c:pt>
                <c:pt idx="996">
                  <c:v>6.4215384794206826E-2</c:v>
                </c:pt>
                <c:pt idx="997">
                  <c:v>5.3322858306823304E-2</c:v>
                </c:pt>
                <c:pt idx="998">
                  <c:v>4.3155591818215079E-2</c:v>
                </c:pt>
                <c:pt idx="999">
                  <c:v>4.6269213150265852E-2</c:v>
                </c:pt>
                <c:pt idx="1000">
                  <c:v>6.0896262799444545E-2</c:v>
                </c:pt>
                <c:pt idx="1001">
                  <c:v>5.172959383562542E-2</c:v>
                </c:pt>
                <c:pt idx="1002">
                  <c:v>6.1660714007866789E-2</c:v>
                </c:pt>
                <c:pt idx="1003">
                  <c:v>6.541693024880843E-2</c:v>
                </c:pt>
                <c:pt idx="1004">
                  <c:v>5.1876072252612988E-2</c:v>
                </c:pt>
                <c:pt idx="1005">
                  <c:v>4.9343518268498858E-2</c:v>
                </c:pt>
                <c:pt idx="1006">
                  <c:v>4.1766394020507192E-2</c:v>
                </c:pt>
                <c:pt idx="1007">
                  <c:v>4.4453671982685433E-2</c:v>
                </c:pt>
                <c:pt idx="1008">
                  <c:v>6.7640166423700326E-2</c:v>
                </c:pt>
                <c:pt idx="1009">
                  <c:v>4.7886631600066606E-2</c:v>
                </c:pt>
                <c:pt idx="1010">
                  <c:v>3.7502428443318012E-2</c:v>
                </c:pt>
                <c:pt idx="1011">
                  <c:v>6.6390202558651551E-2</c:v>
                </c:pt>
                <c:pt idx="1012">
                  <c:v>6.3799452706825244E-2</c:v>
                </c:pt>
                <c:pt idx="1013">
                  <c:v>6.6733779508159979E-2</c:v>
                </c:pt>
                <c:pt idx="1014">
                  <c:v>5.32573763358146E-2</c:v>
                </c:pt>
                <c:pt idx="1015">
                  <c:v>6.1887730208589488E-2</c:v>
                </c:pt>
                <c:pt idx="1016">
                  <c:v>4.8087400983466713E-2</c:v>
                </c:pt>
                <c:pt idx="1017">
                  <c:v>6.564555804324694E-2</c:v>
                </c:pt>
                <c:pt idx="1018">
                  <c:v>5.510511059215295E-2</c:v>
                </c:pt>
                <c:pt idx="1019">
                  <c:v>4.3874235056941054E-2</c:v>
                </c:pt>
                <c:pt idx="1020">
                  <c:v>4.054083123855115E-2</c:v>
                </c:pt>
              </c:numCache>
            </c:numRef>
          </c:xVal>
          <c:yVal>
            <c:numRef>
              <c:f>Rates!$E$66:$E$1086</c:f>
              <c:numCache>
                <c:formatCode>0.00%</c:formatCode>
                <c:ptCount val="1021"/>
                <c:pt idx="0">
                  <c:v>0.08</c:v>
                </c:pt>
                <c:pt idx="1">
                  <c:v>8.3006250000000004E-2</c:v>
                </c:pt>
                <c:pt idx="2">
                  <c:v>8.5974999999999996E-2</c:v>
                </c:pt>
                <c:pt idx="3">
                  <c:v>8.8906250000000006E-2</c:v>
                </c:pt>
                <c:pt idx="4">
                  <c:v>9.1799999999999993E-2</c:v>
                </c:pt>
                <c:pt idx="5">
                  <c:v>9.4656250000000011E-2</c:v>
                </c:pt>
                <c:pt idx="6">
                  <c:v>9.7475000000000006E-2</c:v>
                </c:pt>
                <c:pt idx="7">
                  <c:v>0.10025625000000001</c:v>
                </c:pt>
                <c:pt idx="8">
                  <c:v>0.10299999999999998</c:v>
                </c:pt>
                <c:pt idx="9">
                  <c:v>0.10570624999999999</c:v>
                </c:pt>
                <c:pt idx="10">
                  <c:v>0.108375</c:v>
                </c:pt>
                <c:pt idx="11">
                  <c:v>0.11100625</c:v>
                </c:pt>
                <c:pt idx="12">
                  <c:v>0.11360000000000001</c:v>
                </c:pt>
                <c:pt idx="13">
                  <c:v>0.11615625000000002</c:v>
                </c:pt>
                <c:pt idx="14">
                  <c:v>0.118675</c:v>
                </c:pt>
                <c:pt idx="15">
                  <c:v>0.12115625000000001</c:v>
                </c:pt>
                <c:pt idx="16">
                  <c:v>0.12360000000000002</c:v>
                </c:pt>
                <c:pt idx="17">
                  <c:v>0.12600625000000001</c:v>
                </c:pt>
                <c:pt idx="18">
                  <c:v>0.12837499999999999</c:v>
                </c:pt>
                <c:pt idx="19">
                  <c:v>0.13070625000000002</c:v>
                </c:pt>
                <c:pt idx="20">
                  <c:v>0.13300000000000001</c:v>
                </c:pt>
              </c:numCache>
            </c:numRef>
          </c:yVal>
          <c:smooth val="1"/>
          <c:extLst>
            <c:ext xmlns:c16="http://schemas.microsoft.com/office/drawing/2014/chart" uri="{C3380CC4-5D6E-409C-BE32-E72D297353CC}">
              <c16:uniqueId val="{00000002-419D-4DDF-8DB4-7A7BC0ABFBC2}"/>
            </c:ext>
          </c:extLst>
        </c:ser>
        <c:ser>
          <c:idx val="3"/>
          <c:order val="3"/>
          <c:tx>
            <c:v>Maximum</c:v>
          </c:tx>
          <c:spPr>
            <a:ln w="22000">
              <a:solidFill>
                <a:srgbClr val="B91C1C"/>
              </a:solidFill>
              <a:prstDash val="dash"/>
            </a:ln>
          </c:spPr>
          <c:marker>
            <c:symbol val="none"/>
          </c:marker>
          <c:xVal>
            <c:numRef>
              <c:f>Rates!$B$66:$B$1086</c:f>
              <c:numCache>
                <c:formatCode>0.00%</c:formatCode>
                <c:ptCount val="1021"/>
                <c:pt idx="0">
                  <c:v>0.03</c:v>
                </c:pt>
                <c:pt idx="1">
                  <c:v>3.2500000000000001E-2</c:v>
                </c:pt>
                <c:pt idx="2">
                  <c:v>3.5000000000000003E-2</c:v>
                </c:pt>
                <c:pt idx="3">
                  <c:v>3.7499999999999999E-2</c:v>
                </c:pt>
                <c:pt idx="4">
                  <c:v>0.04</c:v>
                </c:pt>
                <c:pt idx="5">
                  <c:v>4.2500000000000003E-2</c:v>
                </c:pt>
                <c:pt idx="6">
                  <c:v>4.4999999999999998E-2</c:v>
                </c:pt>
                <c:pt idx="7">
                  <c:v>4.7500000000000001E-2</c:v>
                </c:pt>
                <c:pt idx="8">
                  <c:v>0.05</c:v>
                </c:pt>
                <c:pt idx="9">
                  <c:v>5.2499999999999998E-2</c:v>
                </c:pt>
                <c:pt idx="10">
                  <c:v>5.5E-2</c:v>
                </c:pt>
                <c:pt idx="11">
                  <c:v>5.7500000000000002E-2</c:v>
                </c:pt>
                <c:pt idx="12">
                  <c:v>0.06</c:v>
                </c:pt>
                <c:pt idx="13">
                  <c:v>6.25E-2</c:v>
                </c:pt>
                <c:pt idx="14">
                  <c:v>6.5000000000000002E-2</c:v>
                </c:pt>
                <c:pt idx="15">
                  <c:v>6.7500000000000004E-2</c:v>
                </c:pt>
                <c:pt idx="16">
                  <c:v>7.0000000000000007E-2</c:v>
                </c:pt>
                <c:pt idx="17">
                  <c:v>7.2500000000000009E-2</c:v>
                </c:pt>
                <c:pt idx="18">
                  <c:v>7.4999999999999997E-2</c:v>
                </c:pt>
                <c:pt idx="19">
                  <c:v>7.7499999999999999E-2</c:v>
                </c:pt>
                <c:pt idx="20">
                  <c:v>0.08</c:v>
                </c:pt>
                <c:pt idx="21">
                  <c:v>4.9095203925873465E-2</c:v>
                </c:pt>
                <c:pt idx="22">
                  <c:v>7.5044823702192703E-2</c:v>
                </c:pt>
                <c:pt idx="23">
                  <c:v>5.7472039872446534E-2</c:v>
                </c:pt>
                <c:pt idx="24">
                  <c:v>6.6437038087169553E-2</c:v>
                </c:pt>
                <c:pt idx="25">
                  <c:v>3.0614617404349911E-2</c:v>
                </c:pt>
                <c:pt idx="26">
                  <c:v>4.0552836157230314E-2</c:v>
                </c:pt>
                <c:pt idx="27">
                  <c:v>4.6017472822477146E-2</c:v>
                </c:pt>
                <c:pt idx="28">
                  <c:v>7.6428077290444402E-2</c:v>
                </c:pt>
                <c:pt idx="29">
                  <c:v>4.123626055264875E-2</c:v>
                </c:pt>
                <c:pt idx="30">
                  <c:v>4.4119502155034698E-2</c:v>
                </c:pt>
                <c:pt idx="31">
                  <c:v>3.9100827243553543E-2</c:v>
                </c:pt>
                <c:pt idx="32">
                  <c:v>4.855679520209448E-2</c:v>
                </c:pt>
                <c:pt idx="33">
                  <c:v>4.2575636338402702E-2</c:v>
                </c:pt>
                <c:pt idx="34">
                  <c:v>4.83276286013955E-2</c:v>
                </c:pt>
                <c:pt idx="35">
                  <c:v>4.7197764737217818E-2</c:v>
                </c:pt>
                <c:pt idx="36">
                  <c:v>5.5939237935619668E-2</c:v>
                </c:pt>
                <c:pt idx="37">
                  <c:v>4.8561725195763593E-2</c:v>
                </c:pt>
                <c:pt idx="38">
                  <c:v>6.6641000710494488E-2</c:v>
                </c:pt>
                <c:pt idx="39">
                  <c:v>5.2302104463853971E-2</c:v>
                </c:pt>
                <c:pt idx="40">
                  <c:v>6.1970660571174514E-2</c:v>
                </c:pt>
                <c:pt idx="41">
                  <c:v>4.9152303295972366E-2</c:v>
                </c:pt>
                <c:pt idx="42">
                  <c:v>4.6319542595019969E-2</c:v>
                </c:pt>
                <c:pt idx="43">
                  <c:v>5.6397674326101335E-2</c:v>
                </c:pt>
                <c:pt idx="44">
                  <c:v>5.1922549432721954E-2</c:v>
                </c:pt>
                <c:pt idx="45">
                  <c:v>4.3154628120470495E-2</c:v>
                </c:pt>
                <c:pt idx="46">
                  <c:v>4.9788898675703602E-2</c:v>
                </c:pt>
                <c:pt idx="47">
                  <c:v>6.3391442067446346E-2</c:v>
                </c:pt>
                <c:pt idx="48">
                  <c:v>4.3924697450954543E-2</c:v>
                </c:pt>
                <c:pt idx="49">
                  <c:v>3.5401382078426108E-2</c:v>
                </c:pt>
                <c:pt idx="50">
                  <c:v>5.2184772841892366E-2</c:v>
                </c:pt>
                <c:pt idx="51">
                  <c:v>5.5960431340812411E-2</c:v>
                </c:pt>
                <c:pt idx="52">
                  <c:v>6.5273161469414448E-2</c:v>
                </c:pt>
                <c:pt idx="53">
                  <c:v>4.9102637888722683E-2</c:v>
                </c:pt>
                <c:pt idx="54">
                  <c:v>5.0149414295728563E-2</c:v>
                </c:pt>
                <c:pt idx="55">
                  <c:v>5.2834426514502042E-2</c:v>
                </c:pt>
                <c:pt idx="56">
                  <c:v>4.9454377923620348E-2</c:v>
                </c:pt>
                <c:pt idx="57">
                  <c:v>4.1007074452037273E-2</c:v>
                </c:pt>
                <c:pt idx="58">
                  <c:v>6.6894246467038981E-2</c:v>
                </c:pt>
                <c:pt idx="59">
                  <c:v>4.2954759033927474E-2</c:v>
                </c:pt>
                <c:pt idx="60">
                  <c:v>5.9387064650646901E-2</c:v>
                </c:pt>
                <c:pt idx="61">
                  <c:v>6.0186419939137079E-2</c:v>
                </c:pt>
                <c:pt idx="62">
                  <c:v>5.7335897948424891E-2</c:v>
                </c:pt>
                <c:pt idx="63">
                  <c:v>6.9417045331389746E-2</c:v>
                </c:pt>
                <c:pt idx="64">
                  <c:v>6.0260517192941579E-2</c:v>
                </c:pt>
                <c:pt idx="65">
                  <c:v>4.6323684980288805E-2</c:v>
                </c:pt>
                <c:pt idx="66">
                  <c:v>3.9121102537512116E-2</c:v>
                </c:pt>
                <c:pt idx="67">
                  <c:v>5.6611007420773581E-2</c:v>
                </c:pt>
                <c:pt idx="68">
                  <c:v>5.1753024229332131E-2</c:v>
                </c:pt>
                <c:pt idx="69">
                  <c:v>6.3309299598229313E-2</c:v>
                </c:pt>
                <c:pt idx="70">
                  <c:v>6.2784256460347077E-2</c:v>
                </c:pt>
                <c:pt idx="71">
                  <c:v>6.4210722105265017E-2</c:v>
                </c:pt>
                <c:pt idx="72">
                  <c:v>6.1269909563748941E-2</c:v>
                </c:pt>
                <c:pt idx="73">
                  <c:v>3.8774186704191652E-2</c:v>
                </c:pt>
                <c:pt idx="74">
                  <c:v>6.1288051553864874E-2</c:v>
                </c:pt>
                <c:pt idx="75">
                  <c:v>3.6269086469247494E-2</c:v>
                </c:pt>
                <c:pt idx="76">
                  <c:v>4.5194933714292652E-2</c:v>
                </c:pt>
                <c:pt idx="77">
                  <c:v>4.2033946200817768E-2</c:v>
                </c:pt>
                <c:pt idx="78">
                  <c:v>3.7491185494053329E-2</c:v>
                </c:pt>
                <c:pt idx="79">
                  <c:v>6.3392638261468626E-2</c:v>
                </c:pt>
                <c:pt idx="80">
                  <c:v>5.5962210321813186E-2</c:v>
                </c:pt>
                <c:pt idx="81">
                  <c:v>3.936075880092748E-2</c:v>
                </c:pt>
                <c:pt idx="82">
                  <c:v>5.3768201781880631E-2</c:v>
                </c:pt>
                <c:pt idx="83">
                  <c:v>4.9202568943766331E-2</c:v>
                </c:pt>
                <c:pt idx="84">
                  <c:v>5.5995325144422098E-2</c:v>
                </c:pt>
                <c:pt idx="85">
                  <c:v>6.8396620122530671E-2</c:v>
                </c:pt>
                <c:pt idx="86">
                  <c:v>4.8957553285945421E-2</c:v>
                </c:pt>
                <c:pt idx="87">
                  <c:v>5.2151534112082995E-2</c:v>
                </c:pt>
                <c:pt idx="88">
                  <c:v>4.2937321351218881E-2</c:v>
                </c:pt>
                <c:pt idx="89">
                  <c:v>5.6597570956328287E-2</c:v>
                </c:pt>
                <c:pt idx="90">
                  <c:v>4.5663355779551051E-2</c:v>
                </c:pt>
                <c:pt idx="91">
                  <c:v>4.638113765279827E-2</c:v>
                </c:pt>
                <c:pt idx="92">
                  <c:v>4.1069873100057816E-2</c:v>
                </c:pt>
                <c:pt idx="93">
                  <c:v>5.6436020474488299E-2</c:v>
                </c:pt>
                <c:pt idx="94">
                  <c:v>5.9559673014021944E-2</c:v>
                </c:pt>
                <c:pt idx="95">
                  <c:v>6.1489371595022151E-2</c:v>
                </c:pt>
                <c:pt idx="96">
                  <c:v>4.8977310561303861E-2</c:v>
                </c:pt>
                <c:pt idx="97">
                  <c:v>3.4569972139296495E-2</c:v>
                </c:pt>
                <c:pt idx="98">
                  <c:v>3.5925680751159539E-2</c:v>
                </c:pt>
                <c:pt idx="99">
                  <c:v>5.8430324831753977E-2</c:v>
                </c:pt>
                <c:pt idx="100">
                  <c:v>5.4627621244857566E-2</c:v>
                </c:pt>
                <c:pt idx="101">
                  <c:v>7.2415863743570813E-2</c:v>
                </c:pt>
                <c:pt idx="102">
                  <c:v>5.5673059001754316E-2</c:v>
                </c:pt>
                <c:pt idx="103">
                  <c:v>5.8365221554226188E-2</c:v>
                </c:pt>
                <c:pt idx="104">
                  <c:v>4.5910905265858289E-2</c:v>
                </c:pt>
                <c:pt idx="105">
                  <c:v>4.5404767033535992E-2</c:v>
                </c:pt>
                <c:pt idx="106">
                  <c:v>4.9859203389088419E-2</c:v>
                </c:pt>
                <c:pt idx="107">
                  <c:v>5.9771276160199852E-2</c:v>
                </c:pt>
                <c:pt idx="108">
                  <c:v>4.369946305717462E-2</c:v>
                </c:pt>
                <c:pt idx="109">
                  <c:v>3.9566403307189309E-2</c:v>
                </c:pt>
                <c:pt idx="110">
                  <c:v>3.8221473040526359E-2</c:v>
                </c:pt>
                <c:pt idx="111">
                  <c:v>4.990531771934785E-2</c:v>
                </c:pt>
                <c:pt idx="112">
                  <c:v>5.0464981320151286E-2</c:v>
                </c:pt>
                <c:pt idx="113">
                  <c:v>6.4965686294495228E-2</c:v>
                </c:pt>
                <c:pt idx="114">
                  <c:v>3.9267569764450873E-2</c:v>
                </c:pt>
                <c:pt idx="115">
                  <c:v>4.577484905032899E-2</c:v>
                </c:pt>
                <c:pt idx="116">
                  <c:v>6.4676308085804907E-2</c:v>
                </c:pt>
                <c:pt idx="117">
                  <c:v>4.5611332894319179E-2</c:v>
                </c:pt>
                <c:pt idx="118">
                  <c:v>4.0221470327401546E-2</c:v>
                </c:pt>
                <c:pt idx="119">
                  <c:v>4.0624572616726522E-2</c:v>
                </c:pt>
                <c:pt idx="120">
                  <c:v>5.1929215528767239E-2</c:v>
                </c:pt>
                <c:pt idx="121">
                  <c:v>3.4679039997674424E-2</c:v>
                </c:pt>
                <c:pt idx="122">
                  <c:v>3.8708999215284409E-2</c:v>
                </c:pt>
                <c:pt idx="123">
                  <c:v>5.6207523888816002E-2</c:v>
                </c:pt>
                <c:pt idx="124">
                  <c:v>6.5443999900598515E-2</c:v>
                </c:pt>
                <c:pt idx="125">
                  <c:v>4.3377785506310773E-2</c:v>
                </c:pt>
                <c:pt idx="126">
                  <c:v>6.5070617026444649E-2</c:v>
                </c:pt>
                <c:pt idx="127">
                  <c:v>4.4980349190982503E-2</c:v>
                </c:pt>
                <c:pt idx="128">
                  <c:v>4.5922997782372021E-2</c:v>
                </c:pt>
                <c:pt idx="129">
                  <c:v>5.1051644776888158E-2</c:v>
                </c:pt>
                <c:pt idx="130">
                  <c:v>5.3530726095567534E-2</c:v>
                </c:pt>
                <c:pt idx="131">
                  <c:v>3.7161176306201187E-2</c:v>
                </c:pt>
                <c:pt idx="132">
                  <c:v>5.302912059322671E-2</c:v>
                </c:pt>
                <c:pt idx="133">
                  <c:v>5.3251227992995157E-2</c:v>
                </c:pt>
                <c:pt idx="134">
                  <c:v>5.4345313767593835E-2</c:v>
                </c:pt>
                <c:pt idx="135">
                  <c:v>4.1235286528799819E-2</c:v>
                </c:pt>
                <c:pt idx="136">
                  <c:v>6.8275654070123204E-2</c:v>
                </c:pt>
                <c:pt idx="137">
                  <c:v>5.3665127460621423E-2</c:v>
                </c:pt>
                <c:pt idx="138">
                  <c:v>4.4848857456537862E-2</c:v>
                </c:pt>
                <c:pt idx="139">
                  <c:v>5.6836423026730407E-2</c:v>
                </c:pt>
                <c:pt idx="140">
                  <c:v>4.3967878086295167E-2</c:v>
                </c:pt>
                <c:pt idx="141">
                  <c:v>3.9529169425366689E-2</c:v>
                </c:pt>
                <c:pt idx="142">
                  <c:v>5.2159071749230027E-2</c:v>
                </c:pt>
                <c:pt idx="143">
                  <c:v>4.9017217023118689E-2</c:v>
                </c:pt>
                <c:pt idx="144">
                  <c:v>6.7717566356796613E-2</c:v>
                </c:pt>
                <c:pt idx="145">
                  <c:v>5.6673768079107442E-2</c:v>
                </c:pt>
                <c:pt idx="146">
                  <c:v>5.1090758807336809E-2</c:v>
                </c:pt>
                <c:pt idx="147">
                  <c:v>4.9020459276502379E-2</c:v>
                </c:pt>
                <c:pt idx="148">
                  <c:v>5.2349698524968152E-2</c:v>
                </c:pt>
                <c:pt idx="149">
                  <c:v>3.6961246488464571E-2</c:v>
                </c:pt>
                <c:pt idx="150">
                  <c:v>5.8943306632096501E-2</c:v>
                </c:pt>
                <c:pt idx="151">
                  <c:v>5.2224257995227327E-2</c:v>
                </c:pt>
                <c:pt idx="152">
                  <c:v>3.6679397107174022E-2</c:v>
                </c:pt>
                <c:pt idx="153">
                  <c:v>5.5765056802164897E-2</c:v>
                </c:pt>
                <c:pt idx="154">
                  <c:v>4.0991777200581538E-2</c:v>
                </c:pt>
                <c:pt idx="155">
                  <c:v>5.1666650073676171E-2</c:v>
                </c:pt>
                <c:pt idx="156">
                  <c:v>5.9883274683693873E-2</c:v>
                </c:pt>
                <c:pt idx="157">
                  <c:v>6.7298233899929769E-2</c:v>
                </c:pt>
                <c:pt idx="158">
                  <c:v>3.5595249698030448E-2</c:v>
                </c:pt>
                <c:pt idx="159">
                  <c:v>5.3589884941023583E-2</c:v>
                </c:pt>
                <c:pt idx="160">
                  <c:v>6.3633233843416181E-2</c:v>
                </c:pt>
                <c:pt idx="161">
                  <c:v>6.4678038013544548E-2</c:v>
                </c:pt>
                <c:pt idx="162">
                  <c:v>5.2354708208693354E-2</c:v>
                </c:pt>
                <c:pt idx="163">
                  <c:v>4.0900803920063462E-2</c:v>
                </c:pt>
                <c:pt idx="164">
                  <c:v>4.9907589504075735E-2</c:v>
                </c:pt>
                <c:pt idx="165">
                  <c:v>4.0966660249415768E-2</c:v>
                </c:pt>
                <c:pt idx="166">
                  <c:v>6.4083520234179236E-2</c:v>
                </c:pt>
                <c:pt idx="167">
                  <c:v>6.0432542347111602E-2</c:v>
                </c:pt>
                <c:pt idx="168">
                  <c:v>4.8053880006529021E-2</c:v>
                </c:pt>
                <c:pt idx="169">
                  <c:v>4.8585728987392975E-2</c:v>
                </c:pt>
                <c:pt idx="170">
                  <c:v>5.2291648821684536E-2</c:v>
                </c:pt>
                <c:pt idx="171">
                  <c:v>4.1882833604912961E-2</c:v>
                </c:pt>
                <c:pt idx="172">
                  <c:v>5.5431717362277755E-2</c:v>
                </c:pt>
                <c:pt idx="173">
                  <c:v>6.6103764726137396E-2</c:v>
                </c:pt>
                <c:pt idx="174">
                  <c:v>4.7619020755082016E-2</c:v>
                </c:pt>
                <c:pt idx="175">
                  <c:v>4.7257131060984038E-2</c:v>
                </c:pt>
                <c:pt idx="176">
                  <c:v>5.3166955148294878E-2</c:v>
                </c:pt>
                <c:pt idx="177">
                  <c:v>5.8452349557322356E-2</c:v>
                </c:pt>
                <c:pt idx="178">
                  <c:v>5.5017743379647828E-2</c:v>
                </c:pt>
                <c:pt idx="179">
                  <c:v>5.7650797621234054E-2</c:v>
                </c:pt>
                <c:pt idx="180">
                  <c:v>4.0484226372640549E-2</c:v>
                </c:pt>
                <c:pt idx="181">
                  <c:v>6.3642062555745949E-2</c:v>
                </c:pt>
                <c:pt idx="182">
                  <c:v>5.6547195511650147E-2</c:v>
                </c:pt>
                <c:pt idx="183">
                  <c:v>5.4617573051185711E-2</c:v>
                </c:pt>
                <c:pt idx="184">
                  <c:v>5.5300870354650478E-2</c:v>
                </c:pt>
                <c:pt idx="185">
                  <c:v>5.8456651309245378E-2</c:v>
                </c:pt>
                <c:pt idx="186">
                  <c:v>4.7422967998688205E-2</c:v>
                </c:pt>
                <c:pt idx="187">
                  <c:v>4.7287592842392021E-2</c:v>
                </c:pt>
                <c:pt idx="188">
                  <c:v>5.8867049906679916E-2</c:v>
                </c:pt>
                <c:pt idx="189">
                  <c:v>4.5105854728490206E-2</c:v>
                </c:pt>
                <c:pt idx="190">
                  <c:v>4.7492465312099233E-2</c:v>
                </c:pt>
                <c:pt idx="191">
                  <c:v>6.4277270089323185E-2</c:v>
                </c:pt>
                <c:pt idx="192">
                  <c:v>5.8517686640408753E-2</c:v>
                </c:pt>
                <c:pt idx="193">
                  <c:v>4.9385949158126427E-2</c:v>
                </c:pt>
                <c:pt idx="194">
                  <c:v>6.3546460244052305E-2</c:v>
                </c:pt>
                <c:pt idx="195">
                  <c:v>6.9059745394025207E-2</c:v>
                </c:pt>
                <c:pt idx="196">
                  <c:v>3.3803437926516314E-2</c:v>
                </c:pt>
                <c:pt idx="197">
                  <c:v>5.5754756509692346E-2</c:v>
                </c:pt>
                <c:pt idx="198">
                  <c:v>5.1223714944770044E-2</c:v>
                </c:pt>
                <c:pt idx="199">
                  <c:v>5.4562116849909234E-2</c:v>
                </c:pt>
                <c:pt idx="200">
                  <c:v>3.8242449389094074E-2</c:v>
                </c:pt>
                <c:pt idx="201">
                  <c:v>4.0034818998414899E-2</c:v>
                </c:pt>
                <c:pt idx="202">
                  <c:v>5.9688353401865485E-2</c:v>
                </c:pt>
                <c:pt idx="203">
                  <c:v>6.7681304419686616E-2</c:v>
                </c:pt>
                <c:pt idx="204">
                  <c:v>3.7749629776905574E-2</c:v>
                </c:pt>
                <c:pt idx="205">
                  <c:v>4.9958235670978672E-2</c:v>
                </c:pt>
                <c:pt idx="206">
                  <c:v>4.7459736753633332E-2</c:v>
                </c:pt>
                <c:pt idx="207">
                  <c:v>5.3367267103879623E-2</c:v>
                </c:pt>
                <c:pt idx="208">
                  <c:v>6.7091529531533786E-2</c:v>
                </c:pt>
                <c:pt idx="209">
                  <c:v>4.8861456219823601E-2</c:v>
                </c:pt>
                <c:pt idx="210">
                  <c:v>4.8112783649899453E-2</c:v>
                </c:pt>
                <c:pt idx="211">
                  <c:v>4.4147416875906877E-2</c:v>
                </c:pt>
                <c:pt idx="212">
                  <c:v>5.8856478524237484E-2</c:v>
                </c:pt>
                <c:pt idx="213">
                  <c:v>6.4676817364298533E-2</c:v>
                </c:pt>
                <c:pt idx="214">
                  <c:v>5.9151939257222931E-2</c:v>
                </c:pt>
                <c:pt idx="215">
                  <c:v>5.3239343574566202E-2</c:v>
                </c:pt>
                <c:pt idx="216">
                  <c:v>4.5990508661599705E-2</c:v>
                </c:pt>
                <c:pt idx="217">
                  <c:v>3.2168007327393278E-2</c:v>
                </c:pt>
                <c:pt idx="218">
                  <c:v>5.9191299252421212E-2</c:v>
                </c:pt>
                <c:pt idx="219">
                  <c:v>5.4434769216417128E-2</c:v>
                </c:pt>
                <c:pt idx="220">
                  <c:v>4.1454462201141316E-2</c:v>
                </c:pt>
                <c:pt idx="221">
                  <c:v>4.6685447251303511E-2</c:v>
                </c:pt>
                <c:pt idx="222">
                  <c:v>5.3373912345329566E-2</c:v>
                </c:pt>
                <c:pt idx="223">
                  <c:v>5.1989175687990996E-2</c:v>
                </c:pt>
                <c:pt idx="224">
                  <c:v>3.3424865601479739E-2</c:v>
                </c:pt>
                <c:pt idx="225">
                  <c:v>6.3771801798494038E-2</c:v>
                </c:pt>
                <c:pt idx="226">
                  <c:v>5.7121057770139913E-2</c:v>
                </c:pt>
                <c:pt idx="227">
                  <c:v>4.7512233460912739E-2</c:v>
                </c:pt>
                <c:pt idx="228">
                  <c:v>5.0501770094307535E-2</c:v>
                </c:pt>
                <c:pt idx="229">
                  <c:v>6.4962289157745032E-2</c:v>
                </c:pt>
                <c:pt idx="230">
                  <c:v>5.8913043758483191E-2</c:v>
                </c:pt>
                <c:pt idx="231">
                  <c:v>5.4608810441660383E-2</c:v>
                </c:pt>
                <c:pt idx="232">
                  <c:v>5.0416562083053638E-2</c:v>
                </c:pt>
                <c:pt idx="233">
                  <c:v>3.4306164216413651E-2</c:v>
                </c:pt>
                <c:pt idx="234">
                  <c:v>4.5079353559731097E-2</c:v>
                </c:pt>
                <c:pt idx="235">
                  <c:v>6.6229371527394137E-2</c:v>
                </c:pt>
                <c:pt idx="236">
                  <c:v>6.1371415129911171E-2</c:v>
                </c:pt>
                <c:pt idx="237">
                  <c:v>5.6568035091094593E-2</c:v>
                </c:pt>
                <c:pt idx="238">
                  <c:v>5.2636596559681656E-2</c:v>
                </c:pt>
                <c:pt idx="239">
                  <c:v>7.5120457528867729E-2</c:v>
                </c:pt>
                <c:pt idx="240">
                  <c:v>3.8058468828980514E-2</c:v>
                </c:pt>
                <c:pt idx="241">
                  <c:v>4.2117989453000812E-2</c:v>
                </c:pt>
                <c:pt idx="242">
                  <c:v>5.0549898051400782E-2</c:v>
                </c:pt>
                <c:pt idx="243">
                  <c:v>4.0888372629172463E-2</c:v>
                </c:pt>
                <c:pt idx="244">
                  <c:v>5.8188681450865462E-2</c:v>
                </c:pt>
                <c:pt idx="245">
                  <c:v>6.6439609691079121E-2</c:v>
                </c:pt>
                <c:pt idx="246">
                  <c:v>4.2759094258388468E-2</c:v>
                </c:pt>
                <c:pt idx="247">
                  <c:v>5.6747027399779701E-2</c:v>
                </c:pt>
                <c:pt idx="248">
                  <c:v>5.0335752034553809E-2</c:v>
                </c:pt>
                <c:pt idx="249">
                  <c:v>3.7850410786474185E-2</c:v>
                </c:pt>
                <c:pt idx="250">
                  <c:v>4.3948294995697065E-2</c:v>
                </c:pt>
                <c:pt idx="251">
                  <c:v>5.8606495631205131E-2</c:v>
                </c:pt>
                <c:pt idx="252">
                  <c:v>5.1491111726252481E-2</c:v>
                </c:pt>
                <c:pt idx="253">
                  <c:v>5.8553753457460792E-2</c:v>
                </c:pt>
                <c:pt idx="254">
                  <c:v>4.3282966762885344E-2</c:v>
                </c:pt>
                <c:pt idx="255">
                  <c:v>6.5819292598129936E-2</c:v>
                </c:pt>
                <c:pt idx="256">
                  <c:v>3.6922379600599305E-2</c:v>
                </c:pt>
                <c:pt idx="257">
                  <c:v>5.7197786193281239E-2</c:v>
                </c:pt>
                <c:pt idx="258">
                  <c:v>5.1771809264194779E-2</c:v>
                </c:pt>
                <c:pt idx="259">
                  <c:v>4.0406207138481066E-2</c:v>
                </c:pt>
                <c:pt idx="260">
                  <c:v>4.2115914288999308E-2</c:v>
                </c:pt>
                <c:pt idx="261">
                  <c:v>3.4729739859570466E-2</c:v>
                </c:pt>
                <c:pt idx="262">
                  <c:v>4.8549734435270456E-2</c:v>
                </c:pt>
                <c:pt idx="263">
                  <c:v>3.5303496892283306E-2</c:v>
                </c:pt>
                <c:pt idx="264">
                  <c:v>3.973734909572834E-2</c:v>
                </c:pt>
                <c:pt idx="265">
                  <c:v>3.5476241233581084E-2</c:v>
                </c:pt>
                <c:pt idx="266">
                  <c:v>5.1532387087903725E-2</c:v>
                </c:pt>
                <c:pt idx="267">
                  <c:v>4.4418882895871509E-2</c:v>
                </c:pt>
                <c:pt idx="268">
                  <c:v>3.9520830013160993E-2</c:v>
                </c:pt>
                <c:pt idx="269">
                  <c:v>6.2561443718058676E-2</c:v>
                </c:pt>
                <c:pt idx="270">
                  <c:v>4.5637785666035408E-2</c:v>
                </c:pt>
                <c:pt idx="271">
                  <c:v>5.2302486788659633E-2</c:v>
                </c:pt>
                <c:pt idx="272">
                  <c:v>4.3990152194519287E-2</c:v>
                </c:pt>
                <c:pt idx="273">
                  <c:v>5.2676753239975088E-2</c:v>
                </c:pt>
                <c:pt idx="274">
                  <c:v>6.9353352829581313E-2</c:v>
                </c:pt>
                <c:pt idx="275">
                  <c:v>6.1792187680360343E-2</c:v>
                </c:pt>
                <c:pt idx="276">
                  <c:v>4.5344616733211184E-2</c:v>
                </c:pt>
                <c:pt idx="277">
                  <c:v>4.0402465718451019E-2</c:v>
                </c:pt>
                <c:pt idx="278">
                  <c:v>4.4045927365679576E-2</c:v>
                </c:pt>
                <c:pt idx="279">
                  <c:v>4.5369110317811309E-2</c:v>
                </c:pt>
                <c:pt idx="280">
                  <c:v>3.9066407436888127E-2</c:v>
                </c:pt>
                <c:pt idx="281">
                  <c:v>5.3568140300099744E-2</c:v>
                </c:pt>
                <c:pt idx="282">
                  <c:v>5.3141452880500206E-2</c:v>
                </c:pt>
                <c:pt idx="283">
                  <c:v>6.9563016472149408E-2</c:v>
                </c:pt>
                <c:pt idx="284">
                  <c:v>4.9118979890244815E-2</c:v>
                </c:pt>
                <c:pt idx="285">
                  <c:v>5.2897440060202069E-2</c:v>
                </c:pt>
                <c:pt idx="286">
                  <c:v>4.7794719152740445E-2</c:v>
                </c:pt>
                <c:pt idx="287">
                  <c:v>3.4606661604138028E-2</c:v>
                </c:pt>
                <c:pt idx="288">
                  <c:v>6.0643387057600903E-2</c:v>
                </c:pt>
                <c:pt idx="289">
                  <c:v>6.0182312071666022E-2</c:v>
                </c:pt>
                <c:pt idx="290">
                  <c:v>4.5667009708722388E-2</c:v>
                </c:pt>
                <c:pt idx="291">
                  <c:v>4.4026547495713615E-2</c:v>
                </c:pt>
                <c:pt idx="292">
                  <c:v>5.7380235924327824E-2</c:v>
                </c:pt>
                <c:pt idx="293">
                  <c:v>6.0421861311805776E-2</c:v>
                </c:pt>
                <c:pt idx="294">
                  <c:v>5.4317734227786477E-2</c:v>
                </c:pt>
                <c:pt idx="295">
                  <c:v>4.8326302812769992E-2</c:v>
                </c:pt>
                <c:pt idx="296">
                  <c:v>4.9354938810514601E-2</c:v>
                </c:pt>
                <c:pt idx="297">
                  <c:v>6.2717808556792182E-2</c:v>
                </c:pt>
                <c:pt idx="298">
                  <c:v>5.8487393668773466E-2</c:v>
                </c:pt>
                <c:pt idx="299">
                  <c:v>5.8330963703821737E-2</c:v>
                </c:pt>
                <c:pt idx="300">
                  <c:v>4.9378637577205869E-2</c:v>
                </c:pt>
                <c:pt idx="301">
                  <c:v>5.2768550509886658E-2</c:v>
                </c:pt>
                <c:pt idx="302">
                  <c:v>4.9393592913512127E-2</c:v>
                </c:pt>
                <c:pt idx="303">
                  <c:v>4.0863374024614159E-2</c:v>
                </c:pt>
                <c:pt idx="304">
                  <c:v>4.7636217748858498E-2</c:v>
                </c:pt>
                <c:pt idx="305">
                  <c:v>3.7527945956491844E-2</c:v>
                </c:pt>
                <c:pt idx="306">
                  <c:v>4.1468774479974949E-2</c:v>
                </c:pt>
                <c:pt idx="307">
                  <c:v>4.029346099253351E-2</c:v>
                </c:pt>
                <c:pt idx="308">
                  <c:v>6.6756428274531515E-2</c:v>
                </c:pt>
                <c:pt idx="309">
                  <c:v>3.6629349718998741E-2</c:v>
                </c:pt>
                <c:pt idx="310">
                  <c:v>6.5417168904751577E-2</c:v>
                </c:pt>
                <c:pt idx="311">
                  <c:v>3.9742619675961141E-2</c:v>
                </c:pt>
                <c:pt idx="312">
                  <c:v>5.9511963950439867E-2</c:v>
                </c:pt>
                <c:pt idx="313">
                  <c:v>4.3808116171353932E-2</c:v>
                </c:pt>
                <c:pt idx="314">
                  <c:v>5.4411984366883742E-2</c:v>
                </c:pt>
                <c:pt idx="315">
                  <c:v>5.7243175269477156E-2</c:v>
                </c:pt>
                <c:pt idx="316">
                  <c:v>3.605712851941683E-2</c:v>
                </c:pt>
                <c:pt idx="317">
                  <c:v>5.2862072883886529E-2</c:v>
                </c:pt>
                <c:pt idx="318">
                  <c:v>5.5490146177958173E-2</c:v>
                </c:pt>
                <c:pt idx="319">
                  <c:v>3.3918418633348636E-2</c:v>
                </c:pt>
                <c:pt idx="320">
                  <c:v>4.0614843804628147E-2</c:v>
                </c:pt>
                <c:pt idx="321">
                  <c:v>3.815290750389936E-2</c:v>
                </c:pt>
                <c:pt idx="322">
                  <c:v>4.5795661163176751E-2</c:v>
                </c:pt>
                <c:pt idx="323">
                  <c:v>6.9311745314512729E-2</c:v>
                </c:pt>
                <c:pt idx="324">
                  <c:v>4.7607090336182024E-2</c:v>
                </c:pt>
                <c:pt idx="325">
                  <c:v>5.3088259919040315E-2</c:v>
                </c:pt>
                <c:pt idx="326">
                  <c:v>4.5240335648086112E-2</c:v>
                </c:pt>
                <c:pt idx="327">
                  <c:v>4.3118322758004417E-2</c:v>
                </c:pt>
                <c:pt idx="328">
                  <c:v>3.8251109292206563E-2</c:v>
                </c:pt>
                <c:pt idx="329">
                  <c:v>4.4597848184736458E-2</c:v>
                </c:pt>
                <c:pt idx="330">
                  <c:v>4.1426655890659608E-2</c:v>
                </c:pt>
                <c:pt idx="331">
                  <c:v>5.8223231970374517E-2</c:v>
                </c:pt>
                <c:pt idx="332">
                  <c:v>4.1755458168477602E-2</c:v>
                </c:pt>
                <c:pt idx="333">
                  <c:v>4.2869965708986379E-2</c:v>
                </c:pt>
                <c:pt idx="334">
                  <c:v>6.6864424903088943E-2</c:v>
                </c:pt>
                <c:pt idx="335">
                  <c:v>5.3448093368457503E-2</c:v>
                </c:pt>
                <c:pt idx="336">
                  <c:v>4.7882375908835359E-2</c:v>
                </c:pt>
                <c:pt idx="337">
                  <c:v>6.9610288346745972E-2</c:v>
                </c:pt>
                <c:pt idx="338">
                  <c:v>3.6965101090299837E-2</c:v>
                </c:pt>
                <c:pt idx="339">
                  <c:v>6.1992435257395215E-2</c:v>
                </c:pt>
                <c:pt idx="340">
                  <c:v>5.812991199455414E-2</c:v>
                </c:pt>
                <c:pt idx="341">
                  <c:v>4.4231147865642993E-2</c:v>
                </c:pt>
                <c:pt idx="342">
                  <c:v>4.5916049270023074E-2</c:v>
                </c:pt>
                <c:pt idx="343">
                  <c:v>5.1109448752026165E-2</c:v>
                </c:pt>
                <c:pt idx="344">
                  <c:v>4.3151682489665895E-2</c:v>
                </c:pt>
                <c:pt idx="345">
                  <c:v>5.4513370023074749E-2</c:v>
                </c:pt>
                <c:pt idx="346">
                  <c:v>7.1138186476242204E-2</c:v>
                </c:pt>
                <c:pt idx="347">
                  <c:v>6.1263317560071799E-2</c:v>
                </c:pt>
                <c:pt idx="348">
                  <c:v>6.4128905526176436E-2</c:v>
                </c:pt>
                <c:pt idx="349">
                  <c:v>4.158908002766077E-2</c:v>
                </c:pt>
                <c:pt idx="350">
                  <c:v>5.873631241091648E-2</c:v>
                </c:pt>
                <c:pt idx="351">
                  <c:v>3.4599427837208319E-2</c:v>
                </c:pt>
                <c:pt idx="352">
                  <c:v>5.5397771488336967E-2</c:v>
                </c:pt>
                <c:pt idx="353">
                  <c:v>3.8055487264464068E-2</c:v>
                </c:pt>
                <c:pt idx="354">
                  <c:v>3.6311594805283856E-2</c:v>
                </c:pt>
                <c:pt idx="355">
                  <c:v>5.091415492583562E-2</c:v>
                </c:pt>
                <c:pt idx="356">
                  <c:v>6.0676840720821246E-2</c:v>
                </c:pt>
                <c:pt idx="357">
                  <c:v>5.4133925853602952E-2</c:v>
                </c:pt>
                <c:pt idx="358">
                  <c:v>5.8844768396958069E-2</c:v>
                </c:pt>
                <c:pt idx="359">
                  <c:v>5.3108569921035943E-2</c:v>
                </c:pt>
                <c:pt idx="360">
                  <c:v>5.0099018250870167E-2</c:v>
                </c:pt>
                <c:pt idx="361">
                  <c:v>4.6431796881522644E-2</c:v>
                </c:pt>
                <c:pt idx="362">
                  <c:v>5.2115910661025812E-2</c:v>
                </c:pt>
                <c:pt idx="363">
                  <c:v>7.2363939597502744E-2</c:v>
                </c:pt>
                <c:pt idx="364">
                  <c:v>3.9817669471527602E-2</c:v>
                </c:pt>
                <c:pt idx="365">
                  <c:v>5.3404149840820939E-2</c:v>
                </c:pt>
                <c:pt idx="366">
                  <c:v>4.1210453064976331E-2</c:v>
                </c:pt>
                <c:pt idx="367">
                  <c:v>4.8121749078250717E-2</c:v>
                </c:pt>
                <c:pt idx="368">
                  <c:v>5.1505404117946851E-2</c:v>
                </c:pt>
                <c:pt idx="369">
                  <c:v>5.2626495699301674E-2</c:v>
                </c:pt>
                <c:pt idx="370">
                  <c:v>4.3501692883927322E-2</c:v>
                </c:pt>
                <c:pt idx="371">
                  <c:v>5.8272466241557436E-2</c:v>
                </c:pt>
                <c:pt idx="372">
                  <c:v>6.5419176467308021E-2</c:v>
                </c:pt>
                <c:pt idx="373">
                  <c:v>5.5924174423429937E-2</c:v>
                </c:pt>
                <c:pt idx="374">
                  <c:v>5.0279137002862129E-2</c:v>
                </c:pt>
                <c:pt idx="375">
                  <c:v>4.4962336209277726E-2</c:v>
                </c:pt>
                <c:pt idx="376">
                  <c:v>4.0708328891298856E-2</c:v>
                </c:pt>
                <c:pt idx="377">
                  <c:v>3.7867709047288561E-2</c:v>
                </c:pt>
                <c:pt idx="378">
                  <c:v>5.8901158636905579E-2</c:v>
                </c:pt>
                <c:pt idx="379">
                  <c:v>4.7854426612193954E-2</c:v>
                </c:pt>
                <c:pt idx="380">
                  <c:v>4.3411926225759956E-2</c:v>
                </c:pt>
                <c:pt idx="381">
                  <c:v>5.47877631190858E-2</c:v>
                </c:pt>
                <c:pt idx="382">
                  <c:v>3.8265249294053109E-2</c:v>
                </c:pt>
                <c:pt idx="383">
                  <c:v>4.3332786313110945E-2</c:v>
                </c:pt>
                <c:pt idx="384">
                  <c:v>3.9235069422243564E-2</c:v>
                </c:pt>
                <c:pt idx="385">
                  <c:v>5.8516600568745358E-2</c:v>
                </c:pt>
                <c:pt idx="386">
                  <c:v>4.1775550838289974E-2</c:v>
                </c:pt>
                <c:pt idx="387">
                  <c:v>3.7878111039302158E-2</c:v>
                </c:pt>
                <c:pt idx="388">
                  <c:v>4.7490642681191644E-2</c:v>
                </c:pt>
                <c:pt idx="389">
                  <c:v>4.4829689625118095E-2</c:v>
                </c:pt>
                <c:pt idx="390">
                  <c:v>3.9230249688651672E-2</c:v>
                </c:pt>
                <c:pt idx="391">
                  <c:v>6.0334404781065207E-2</c:v>
                </c:pt>
                <c:pt idx="392">
                  <c:v>4.1111104342228956E-2</c:v>
                </c:pt>
                <c:pt idx="393">
                  <c:v>4.2806369424767315E-2</c:v>
                </c:pt>
                <c:pt idx="394">
                  <c:v>6.6333535906044572E-2</c:v>
                </c:pt>
                <c:pt idx="395">
                  <c:v>5.5063958792763226E-2</c:v>
                </c:pt>
                <c:pt idx="396">
                  <c:v>5.3318192844394194E-2</c:v>
                </c:pt>
                <c:pt idx="397">
                  <c:v>5.1925790434389614E-2</c:v>
                </c:pt>
                <c:pt idx="398">
                  <c:v>6.1693825387947494E-2</c:v>
                </c:pt>
                <c:pt idx="399">
                  <c:v>6.5931213720765366E-2</c:v>
                </c:pt>
                <c:pt idx="400">
                  <c:v>5.4606901421990713E-2</c:v>
                </c:pt>
                <c:pt idx="401">
                  <c:v>4.4915664791078808E-2</c:v>
                </c:pt>
                <c:pt idx="402">
                  <c:v>4.6627454667734991E-2</c:v>
                </c:pt>
                <c:pt idx="403">
                  <c:v>3.7848387657520452E-2</c:v>
                </c:pt>
                <c:pt idx="404">
                  <c:v>5.7714623160442069E-2</c:v>
                </c:pt>
                <c:pt idx="405">
                  <c:v>5.7939851294779091E-2</c:v>
                </c:pt>
                <c:pt idx="406">
                  <c:v>5.1874496838665296E-2</c:v>
                </c:pt>
                <c:pt idx="407">
                  <c:v>5.9171984603971522E-2</c:v>
                </c:pt>
                <c:pt idx="408">
                  <c:v>5.7995983559051625E-2</c:v>
                </c:pt>
                <c:pt idx="409">
                  <c:v>6.4921906778654143E-2</c:v>
                </c:pt>
                <c:pt idx="410">
                  <c:v>4.1884595659834496E-2</c:v>
                </c:pt>
                <c:pt idx="411">
                  <c:v>6.6397646806926475E-2</c:v>
                </c:pt>
                <c:pt idx="412">
                  <c:v>5.6452718657359027E-2</c:v>
                </c:pt>
                <c:pt idx="413">
                  <c:v>3.4090387625338475E-2</c:v>
                </c:pt>
                <c:pt idx="414">
                  <c:v>4.9352340447755196E-2</c:v>
                </c:pt>
                <c:pt idx="415">
                  <c:v>4.4068015216702422E-2</c:v>
                </c:pt>
                <c:pt idx="416">
                  <c:v>5.773195671187005E-2</c:v>
                </c:pt>
                <c:pt idx="417">
                  <c:v>5.4424531703686455E-2</c:v>
                </c:pt>
                <c:pt idx="418">
                  <c:v>5.8635556132813127E-2</c:v>
                </c:pt>
                <c:pt idx="419">
                  <c:v>6.7643313917727099E-2</c:v>
                </c:pt>
                <c:pt idx="420">
                  <c:v>4.8583998720304021E-2</c:v>
                </c:pt>
                <c:pt idx="421">
                  <c:v>6.7736873682159485E-2</c:v>
                </c:pt>
                <c:pt idx="422">
                  <c:v>6.5956035508173458E-2</c:v>
                </c:pt>
                <c:pt idx="423">
                  <c:v>5.2779650420405472E-2</c:v>
                </c:pt>
                <c:pt idx="424">
                  <c:v>4.3125128272283569E-2</c:v>
                </c:pt>
                <c:pt idx="425">
                  <c:v>6.536962613671593E-2</c:v>
                </c:pt>
                <c:pt idx="426">
                  <c:v>3.3265220012158821E-2</c:v>
                </c:pt>
                <c:pt idx="427">
                  <c:v>5.5123960050483006E-2</c:v>
                </c:pt>
                <c:pt idx="428">
                  <c:v>6.6029320188951857E-2</c:v>
                </c:pt>
                <c:pt idx="429">
                  <c:v>4.8383108539699023E-2</c:v>
                </c:pt>
                <c:pt idx="430">
                  <c:v>4.5799905949458319E-2</c:v>
                </c:pt>
                <c:pt idx="431">
                  <c:v>5.0904838088092388E-2</c:v>
                </c:pt>
                <c:pt idx="432">
                  <c:v>4.1936945758758816E-2</c:v>
                </c:pt>
                <c:pt idx="433">
                  <c:v>5.4078035791066272E-2</c:v>
                </c:pt>
                <c:pt idx="434">
                  <c:v>3.5121792470250636E-2</c:v>
                </c:pt>
                <c:pt idx="435">
                  <c:v>5.2588965107444333E-2</c:v>
                </c:pt>
                <c:pt idx="436">
                  <c:v>5.0013010538040303E-2</c:v>
                </c:pt>
                <c:pt idx="437">
                  <c:v>6.601849518548733E-2</c:v>
                </c:pt>
                <c:pt idx="438">
                  <c:v>6.0467971171947424E-2</c:v>
                </c:pt>
                <c:pt idx="439">
                  <c:v>6.5556193543853031E-2</c:v>
                </c:pt>
                <c:pt idx="440">
                  <c:v>4.7808941499510649E-2</c:v>
                </c:pt>
                <c:pt idx="441">
                  <c:v>4.8511769089135598E-2</c:v>
                </c:pt>
                <c:pt idx="442">
                  <c:v>5.4213726488900604E-2</c:v>
                </c:pt>
                <c:pt idx="443">
                  <c:v>6.8902436737510911E-2</c:v>
                </c:pt>
                <c:pt idx="444">
                  <c:v>3.5974746491022669E-2</c:v>
                </c:pt>
                <c:pt idx="445">
                  <c:v>4.2171812534073885E-2</c:v>
                </c:pt>
                <c:pt idx="446">
                  <c:v>4.7440081929017913E-2</c:v>
                </c:pt>
                <c:pt idx="447">
                  <c:v>4.0484783168851485E-2</c:v>
                </c:pt>
                <c:pt idx="448">
                  <c:v>3.8470386399451481E-2</c:v>
                </c:pt>
                <c:pt idx="449">
                  <c:v>4.0812659856012255E-2</c:v>
                </c:pt>
                <c:pt idx="450">
                  <c:v>5.6637044819040736E-2</c:v>
                </c:pt>
                <c:pt idx="451">
                  <c:v>5.1422862748457157E-2</c:v>
                </c:pt>
                <c:pt idx="452">
                  <c:v>3.3938249119395192E-2</c:v>
                </c:pt>
                <c:pt idx="453">
                  <c:v>3.48874986572449E-2</c:v>
                </c:pt>
                <c:pt idx="454">
                  <c:v>5.0210775589650716E-2</c:v>
                </c:pt>
                <c:pt idx="455">
                  <c:v>6.7560049912899239E-2</c:v>
                </c:pt>
                <c:pt idx="456">
                  <c:v>6.8714231956449878E-2</c:v>
                </c:pt>
                <c:pt idx="457">
                  <c:v>6.118947406275E-2</c:v>
                </c:pt>
                <c:pt idx="458">
                  <c:v>4.6890361719190476E-2</c:v>
                </c:pt>
                <c:pt idx="459">
                  <c:v>3.4215441192475354E-2</c:v>
                </c:pt>
                <c:pt idx="460">
                  <c:v>5.0539621884359245E-2</c:v>
                </c:pt>
                <c:pt idx="461">
                  <c:v>4.2246153319469737E-2</c:v>
                </c:pt>
                <c:pt idx="462">
                  <c:v>3.9656211119136552E-2</c:v>
                </c:pt>
                <c:pt idx="463">
                  <c:v>4.6832801425669819E-2</c:v>
                </c:pt>
                <c:pt idx="464">
                  <c:v>5.1354633515951931E-2</c:v>
                </c:pt>
                <c:pt idx="465">
                  <c:v>4.0660875166208657E-2</c:v>
                </c:pt>
                <c:pt idx="466">
                  <c:v>6.3759314198655631E-2</c:v>
                </c:pt>
                <c:pt idx="467">
                  <c:v>6.0511166098256741E-2</c:v>
                </c:pt>
                <c:pt idx="468">
                  <c:v>5.2183799099217616E-2</c:v>
                </c:pt>
                <c:pt idx="469">
                  <c:v>4.717556132626044E-2</c:v>
                </c:pt>
                <c:pt idx="470">
                  <c:v>4.543395357004084E-2</c:v>
                </c:pt>
                <c:pt idx="471">
                  <c:v>6.6964956212836296E-2</c:v>
                </c:pt>
                <c:pt idx="472">
                  <c:v>4.7440281766397266E-2</c:v>
                </c:pt>
                <c:pt idx="473">
                  <c:v>5.3465948946838024E-2</c:v>
                </c:pt>
                <c:pt idx="474">
                  <c:v>6.4297858017962756E-2</c:v>
                </c:pt>
                <c:pt idx="475">
                  <c:v>6.3425594455730067E-2</c:v>
                </c:pt>
                <c:pt idx="476">
                  <c:v>4.4279723402296543E-2</c:v>
                </c:pt>
                <c:pt idx="477">
                  <c:v>6.1904617662015944E-2</c:v>
                </c:pt>
                <c:pt idx="478">
                  <c:v>3.5102564723422741E-2</c:v>
                </c:pt>
                <c:pt idx="479">
                  <c:v>6.4787183929120695E-2</c:v>
                </c:pt>
                <c:pt idx="480">
                  <c:v>6.9150144453750617E-2</c:v>
                </c:pt>
                <c:pt idx="481">
                  <c:v>5.021955838672746E-2</c:v>
                </c:pt>
                <c:pt idx="482">
                  <c:v>4.9435203761808759E-2</c:v>
                </c:pt>
                <c:pt idx="483">
                  <c:v>5.2503257500580665E-2</c:v>
                </c:pt>
                <c:pt idx="484">
                  <c:v>4.7217365764355174E-2</c:v>
                </c:pt>
                <c:pt idx="485">
                  <c:v>6.0108017683861925E-2</c:v>
                </c:pt>
                <c:pt idx="486">
                  <c:v>5.3331328009922296E-2</c:v>
                </c:pt>
                <c:pt idx="487">
                  <c:v>4.5553533832724161E-2</c:v>
                </c:pt>
                <c:pt idx="488">
                  <c:v>4.0492259201365739E-2</c:v>
                </c:pt>
                <c:pt idx="489">
                  <c:v>5.1016928658196903E-2</c:v>
                </c:pt>
                <c:pt idx="490">
                  <c:v>6.7726091863182153E-2</c:v>
                </c:pt>
                <c:pt idx="491">
                  <c:v>5.3934454125599607E-2</c:v>
                </c:pt>
                <c:pt idx="492">
                  <c:v>4.6328815753857652E-2</c:v>
                </c:pt>
                <c:pt idx="493">
                  <c:v>3.4273904395502028E-2</c:v>
                </c:pt>
                <c:pt idx="494">
                  <c:v>6.795626664824081E-2</c:v>
                </c:pt>
                <c:pt idx="495">
                  <c:v>5.377961846841027E-2</c:v>
                </c:pt>
                <c:pt idx="496">
                  <c:v>4.3585729595405152E-2</c:v>
                </c:pt>
                <c:pt idx="497">
                  <c:v>4.9532506758659819E-2</c:v>
                </c:pt>
                <c:pt idx="498">
                  <c:v>4.4491900303289672E-2</c:v>
                </c:pt>
                <c:pt idx="499">
                  <c:v>6.0431393375054515E-2</c:v>
                </c:pt>
                <c:pt idx="500">
                  <c:v>6.272946331275743E-2</c:v>
                </c:pt>
                <c:pt idx="501">
                  <c:v>4.637370286455221E-2</c:v>
                </c:pt>
                <c:pt idx="502">
                  <c:v>4.4095050054268746E-2</c:v>
                </c:pt>
                <c:pt idx="503">
                  <c:v>6.4122099152810211E-2</c:v>
                </c:pt>
                <c:pt idx="504">
                  <c:v>6.0723420931821412E-2</c:v>
                </c:pt>
                <c:pt idx="505">
                  <c:v>5.3352790230270099E-2</c:v>
                </c:pt>
                <c:pt idx="506">
                  <c:v>5.243775189307566E-2</c:v>
                </c:pt>
                <c:pt idx="507">
                  <c:v>4.2502580802391776E-2</c:v>
                </c:pt>
                <c:pt idx="508">
                  <c:v>4.2736794188294347E-2</c:v>
                </c:pt>
                <c:pt idx="509">
                  <c:v>5.9723129027556471E-2</c:v>
                </c:pt>
                <c:pt idx="510">
                  <c:v>5.3652381199599287E-2</c:v>
                </c:pt>
                <c:pt idx="511">
                  <c:v>5.4292215481544767E-2</c:v>
                </c:pt>
                <c:pt idx="512">
                  <c:v>3.6851811842608634E-2</c:v>
                </c:pt>
                <c:pt idx="513">
                  <c:v>3.7192619711486394E-2</c:v>
                </c:pt>
                <c:pt idx="514">
                  <c:v>3.4311925218886374E-2</c:v>
                </c:pt>
                <c:pt idx="515">
                  <c:v>4.9178557444886792E-2</c:v>
                </c:pt>
                <c:pt idx="516">
                  <c:v>3.6946762796856894E-2</c:v>
                </c:pt>
                <c:pt idx="517">
                  <c:v>5.6214447510886362E-2</c:v>
                </c:pt>
                <c:pt idx="518">
                  <c:v>4.8631602217896711E-2</c:v>
                </c:pt>
                <c:pt idx="519">
                  <c:v>6.5548253563464706E-2</c:v>
                </c:pt>
                <c:pt idx="520">
                  <c:v>5.3326880446935329E-2</c:v>
                </c:pt>
                <c:pt idx="521">
                  <c:v>3.1001915381186507E-2</c:v>
                </c:pt>
                <c:pt idx="522">
                  <c:v>6.2897414301650134E-2</c:v>
                </c:pt>
                <c:pt idx="523">
                  <c:v>7.0426923509936692E-2</c:v>
                </c:pt>
                <c:pt idx="524">
                  <c:v>5.9660339500662442E-2</c:v>
                </c:pt>
                <c:pt idx="525">
                  <c:v>4.8027211974242298E-2</c:v>
                </c:pt>
                <c:pt idx="526">
                  <c:v>4.4667055743677797E-2</c:v>
                </c:pt>
                <c:pt idx="527">
                  <c:v>7.0049755678972231E-2</c:v>
                </c:pt>
                <c:pt idx="528">
                  <c:v>3.8645739363209086E-2</c:v>
                </c:pt>
                <c:pt idx="529">
                  <c:v>5.4089257522720958E-2</c:v>
                </c:pt>
                <c:pt idx="530">
                  <c:v>4.162249290280999E-2</c:v>
                </c:pt>
                <c:pt idx="531">
                  <c:v>6.1257956010308284E-2</c:v>
                </c:pt>
                <c:pt idx="532">
                  <c:v>4.3311669726161531E-2</c:v>
                </c:pt>
                <c:pt idx="533">
                  <c:v>5.3267342892682229E-2</c:v>
                </c:pt>
                <c:pt idx="534">
                  <c:v>4.9104687888372425E-2</c:v>
                </c:pt>
                <c:pt idx="535">
                  <c:v>5.4741469799282447E-2</c:v>
                </c:pt>
                <c:pt idx="536">
                  <c:v>4.725509037857395E-2</c:v>
                </c:pt>
                <c:pt idx="537">
                  <c:v>4.554952250822214E-2</c:v>
                </c:pt>
                <c:pt idx="538">
                  <c:v>5.6840251747158343E-2</c:v>
                </c:pt>
                <c:pt idx="539">
                  <c:v>5.3597492093978238E-2</c:v>
                </c:pt>
                <c:pt idx="540">
                  <c:v>5.6768015780970876E-2</c:v>
                </c:pt>
                <c:pt idx="541">
                  <c:v>5.842628590127695E-2</c:v>
                </c:pt>
                <c:pt idx="542">
                  <c:v>3.8287931757045812E-2</c:v>
                </c:pt>
                <c:pt idx="543">
                  <c:v>6.2485947803828185E-2</c:v>
                </c:pt>
                <c:pt idx="544">
                  <c:v>3.6090360663164532E-2</c:v>
                </c:pt>
                <c:pt idx="545">
                  <c:v>5.859382250783772E-2</c:v>
                </c:pt>
                <c:pt idx="546">
                  <c:v>5.9775581063067976E-2</c:v>
                </c:pt>
                <c:pt idx="547">
                  <c:v>5.6784658802241178E-2</c:v>
                </c:pt>
                <c:pt idx="548">
                  <c:v>6.4522756088414901E-2</c:v>
                </c:pt>
                <c:pt idx="549">
                  <c:v>6.2759902817610985E-2</c:v>
                </c:pt>
                <c:pt idx="550">
                  <c:v>3.2629541654468831E-2</c:v>
                </c:pt>
                <c:pt idx="551">
                  <c:v>4.6577326238555053E-2</c:v>
                </c:pt>
                <c:pt idx="552">
                  <c:v>4.4941747046897206E-2</c:v>
                </c:pt>
                <c:pt idx="553">
                  <c:v>5.5969874700456286E-2</c:v>
                </c:pt>
                <c:pt idx="554">
                  <c:v>5.0416158655280201E-2</c:v>
                </c:pt>
                <c:pt idx="555">
                  <c:v>4.9983449028642074E-2</c:v>
                </c:pt>
                <c:pt idx="556">
                  <c:v>4.7580386418305171E-2</c:v>
                </c:pt>
                <c:pt idx="557">
                  <c:v>4.8173776853228378E-2</c:v>
                </c:pt>
                <c:pt idx="558">
                  <c:v>4.4242103241991258E-2</c:v>
                </c:pt>
                <c:pt idx="559">
                  <c:v>4.8931857579901261E-2</c:v>
                </c:pt>
                <c:pt idx="560">
                  <c:v>3.5038644290697432E-2</c:v>
                </c:pt>
                <c:pt idx="561">
                  <c:v>4.8686047877167515E-2</c:v>
                </c:pt>
                <c:pt idx="562">
                  <c:v>5.2111698771570354E-2</c:v>
                </c:pt>
                <c:pt idx="563">
                  <c:v>4.6432387512518492E-2</c:v>
                </c:pt>
                <c:pt idx="564">
                  <c:v>4.0630810249941807E-2</c:v>
                </c:pt>
                <c:pt idx="565">
                  <c:v>5.4568387455185038E-2</c:v>
                </c:pt>
                <c:pt idx="566">
                  <c:v>5.2908991573520026E-2</c:v>
                </c:pt>
                <c:pt idx="567">
                  <c:v>4.9442535354265377E-2</c:v>
                </c:pt>
                <c:pt idx="568">
                  <c:v>4.1966640444455902E-2</c:v>
                </c:pt>
                <c:pt idx="569">
                  <c:v>7.0052017715312054E-2</c:v>
                </c:pt>
                <c:pt idx="570">
                  <c:v>4.9201705577363544E-2</c:v>
                </c:pt>
                <c:pt idx="571">
                  <c:v>5.6176842757672776E-2</c:v>
                </c:pt>
                <c:pt idx="572">
                  <c:v>5.6381784337330432E-2</c:v>
                </c:pt>
                <c:pt idx="573">
                  <c:v>4.2969579802874212E-2</c:v>
                </c:pt>
                <c:pt idx="574">
                  <c:v>4.5219145597877326E-2</c:v>
                </c:pt>
                <c:pt idx="575">
                  <c:v>4.9349457163587726E-2</c:v>
                </c:pt>
                <c:pt idx="576">
                  <c:v>3.3572603234444519E-2</c:v>
                </c:pt>
                <c:pt idx="577">
                  <c:v>4.7138076095587414E-2</c:v>
                </c:pt>
                <c:pt idx="578">
                  <c:v>4.3630709077982451E-2</c:v>
                </c:pt>
                <c:pt idx="579">
                  <c:v>6.0072822962189673E-2</c:v>
                </c:pt>
                <c:pt idx="580">
                  <c:v>3.5761238207709767E-2</c:v>
                </c:pt>
                <c:pt idx="581">
                  <c:v>6.3481582416329396E-2</c:v>
                </c:pt>
                <c:pt idx="582">
                  <c:v>6.6594894214480532E-2</c:v>
                </c:pt>
                <c:pt idx="583">
                  <c:v>6.4702054401710896E-2</c:v>
                </c:pt>
                <c:pt idx="584">
                  <c:v>5.951665657578202E-2</c:v>
                </c:pt>
                <c:pt idx="585">
                  <c:v>5.5733719415292052E-2</c:v>
                </c:pt>
                <c:pt idx="586">
                  <c:v>5.1738234755737827E-2</c:v>
                </c:pt>
                <c:pt idx="587">
                  <c:v>4.5113866219036174E-2</c:v>
                </c:pt>
                <c:pt idx="588">
                  <c:v>3.4376863772728014E-2</c:v>
                </c:pt>
                <c:pt idx="589">
                  <c:v>4.4599042343062806E-2</c:v>
                </c:pt>
                <c:pt idx="590">
                  <c:v>4.5919385973904013E-2</c:v>
                </c:pt>
                <c:pt idx="591">
                  <c:v>6.2336971041674238E-2</c:v>
                </c:pt>
                <c:pt idx="592">
                  <c:v>5.2352875670657002E-2</c:v>
                </c:pt>
                <c:pt idx="593">
                  <c:v>5.2006612858917833E-2</c:v>
                </c:pt>
                <c:pt idx="594">
                  <c:v>6.2555065205010835E-2</c:v>
                </c:pt>
                <c:pt idx="595">
                  <c:v>6.0238523480955972E-2</c:v>
                </c:pt>
                <c:pt idx="596">
                  <c:v>4.2538472158876628E-2</c:v>
                </c:pt>
                <c:pt idx="597">
                  <c:v>5.3207052189895118E-2</c:v>
                </c:pt>
                <c:pt idx="598">
                  <c:v>3.8705467890919838E-2</c:v>
                </c:pt>
                <c:pt idx="599">
                  <c:v>5.7878184253604414E-2</c:v>
                </c:pt>
                <c:pt idx="600">
                  <c:v>3.6611612793897026E-2</c:v>
                </c:pt>
                <c:pt idx="601">
                  <c:v>5.1775775686468503E-2</c:v>
                </c:pt>
                <c:pt idx="602">
                  <c:v>4.9798208544574493E-2</c:v>
                </c:pt>
                <c:pt idx="603">
                  <c:v>5.9127524228689818E-2</c:v>
                </c:pt>
                <c:pt idx="604">
                  <c:v>3.4674239076008868E-2</c:v>
                </c:pt>
                <c:pt idx="605">
                  <c:v>5.310874732751554E-2</c:v>
                </c:pt>
                <c:pt idx="606">
                  <c:v>3.7903607757770047E-2</c:v>
                </c:pt>
                <c:pt idx="607">
                  <c:v>5.0372425027455051E-2</c:v>
                </c:pt>
                <c:pt idx="608">
                  <c:v>6.0597082691166426E-2</c:v>
                </c:pt>
                <c:pt idx="609">
                  <c:v>4.7120344689050325E-2</c:v>
                </c:pt>
                <c:pt idx="610">
                  <c:v>5.4973826041453691E-2</c:v>
                </c:pt>
                <c:pt idx="611">
                  <c:v>3.7963803255268165E-2</c:v>
                </c:pt>
                <c:pt idx="612">
                  <c:v>5.9195132669274904E-2</c:v>
                </c:pt>
                <c:pt idx="613">
                  <c:v>4.8062904100949704E-2</c:v>
                </c:pt>
                <c:pt idx="614">
                  <c:v>5.7017613136643525E-2</c:v>
                </c:pt>
                <c:pt idx="615">
                  <c:v>3.8522733389168111E-2</c:v>
                </c:pt>
                <c:pt idx="616">
                  <c:v>4.4182599474629165E-2</c:v>
                </c:pt>
                <c:pt idx="617">
                  <c:v>7.1305057147567408E-2</c:v>
                </c:pt>
                <c:pt idx="618">
                  <c:v>3.6620860082111413E-2</c:v>
                </c:pt>
                <c:pt idx="619">
                  <c:v>4.2424363530593243E-2</c:v>
                </c:pt>
                <c:pt idx="620">
                  <c:v>4.5426612189763335E-2</c:v>
                </c:pt>
                <c:pt idx="621">
                  <c:v>6.060037711334449E-2</c:v>
                </c:pt>
                <c:pt idx="622">
                  <c:v>6.2787385139268653E-2</c:v>
                </c:pt>
                <c:pt idx="623">
                  <c:v>6.3241937527746206E-2</c:v>
                </c:pt>
                <c:pt idx="624">
                  <c:v>3.820963721802486E-2</c:v>
                </c:pt>
                <c:pt idx="625">
                  <c:v>5.6493359421918833E-2</c:v>
                </c:pt>
                <c:pt idx="626">
                  <c:v>5.5664226840278302E-2</c:v>
                </c:pt>
                <c:pt idx="627">
                  <c:v>5.312596560396679E-2</c:v>
                </c:pt>
                <c:pt idx="628">
                  <c:v>4.2611823478482788E-2</c:v>
                </c:pt>
                <c:pt idx="629">
                  <c:v>4.1733273451516006E-2</c:v>
                </c:pt>
                <c:pt idx="630">
                  <c:v>5.1862563088385723E-2</c:v>
                </c:pt>
                <c:pt idx="631">
                  <c:v>5.0403115308009019E-2</c:v>
                </c:pt>
                <c:pt idx="632">
                  <c:v>6.4704093758127176E-2</c:v>
                </c:pt>
                <c:pt idx="633">
                  <c:v>4.718729365997329E-2</c:v>
                </c:pt>
                <c:pt idx="634">
                  <c:v>5.0620172606767336E-2</c:v>
                </c:pt>
                <c:pt idx="635">
                  <c:v>4.37878722308363E-2</c:v>
                </c:pt>
                <c:pt idx="636">
                  <c:v>6.2000580532229427E-2</c:v>
                </c:pt>
                <c:pt idx="637">
                  <c:v>5.375300822558754E-2</c:v>
                </c:pt>
                <c:pt idx="638">
                  <c:v>6.1658320584280342E-2</c:v>
                </c:pt>
                <c:pt idx="639">
                  <c:v>4.6291937002661536E-2</c:v>
                </c:pt>
                <c:pt idx="640">
                  <c:v>4.0966795337478226E-2</c:v>
                </c:pt>
                <c:pt idx="641">
                  <c:v>6.5410981147850711E-2</c:v>
                </c:pt>
                <c:pt idx="642">
                  <c:v>5.234179981598408E-2</c:v>
                </c:pt>
                <c:pt idx="643">
                  <c:v>6.5024428736504908E-2</c:v>
                </c:pt>
                <c:pt idx="644">
                  <c:v>5.0408499933012586E-2</c:v>
                </c:pt>
                <c:pt idx="645">
                  <c:v>4.4737184312476218E-2</c:v>
                </c:pt>
                <c:pt idx="646">
                  <c:v>4.3594582781121868E-2</c:v>
                </c:pt>
                <c:pt idx="647">
                  <c:v>3.9880587642243837E-2</c:v>
                </c:pt>
                <c:pt idx="648">
                  <c:v>4.9720082528777861E-2</c:v>
                </c:pt>
                <c:pt idx="649">
                  <c:v>4.2791303359461977E-2</c:v>
                </c:pt>
                <c:pt idx="650">
                  <c:v>5.0754745261346726E-2</c:v>
                </c:pt>
                <c:pt idx="651">
                  <c:v>5.1262581438785051E-2</c:v>
                </c:pt>
                <c:pt idx="652">
                  <c:v>4.6865928984855747E-2</c:v>
                </c:pt>
                <c:pt idx="653">
                  <c:v>5.773285515115742E-2</c:v>
                </c:pt>
                <c:pt idx="654">
                  <c:v>3.3410183999819036E-2</c:v>
                </c:pt>
                <c:pt idx="655">
                  <c:v>4.3271347267172265E-2</c:v>
                </c:pt>
                <c:pt idx="656">
                  <c:v>5.1417631414739595E-2</c:v>
                </c:pt>
                <c:pt idx="657">
                  <c:v>4.4472367250095769E-2</c:v>
                </c:pt>
                <c:pt idx="658">
                  <c:v>5.6039301840797834E-2</c:v>
                </c:pt>
                <c:pt idx="659">
                  <c:v>6.2198012887437974E-2</c:v>
                </c:pt>
                <c:pt idx="660">
                  <c:v>3.728088476193641E-2</c:v>
                </c:pt>
                <c:pt idx="661">
                  <c:v>4.9064359018226533E-2</c:v>
                </c:pt>
                <c:pt idx="662">
                  <c:v>4.1616389960861103E-2</c:v>
                </c:pt>
                <c:pt idx="663">
                  <c:v>5.4421926850664132E-2</c:v>
                </c:pt>
                <c:pt idx="664">
                  <c:v>5.4099971177211804E-2</c:v>
                </c:pt>
                <c:pt idx="665">
                  <c:v>4.4047230474196016E-2</c:v>
                </c:pt>
                <c:pt idx="666">
                  <c:v>4.6482789917713735E-2</c:v>
                </c:pt>
                <c:pt idx="667">
                  <c:v>3.9513791927825538E-2</c:v>
                </c:pt>
                <c:pt idx="668">
                  <c:v>6.4001086708185814E-2</c:v>
                </c:pt>
                <c:pt idx="669">
                  <c:v>5.1692259151903036E-2</c:v>
                </c:pt>
                <c:pt idx="670">
                  <c:v>5.9810407739120622E-2</c:v>
                </c:pt>
                <c:pt idx="671">
                  <c:v>5.0672365962391719E-2</c:v>
                </c:pt>
                <c:pt idx="672">
                  <c:v>4.3558379925151144E-2</c:v>
                </c:pt>
                <c:pt idx="673">
                  <c:v>4.1445412199996284E-2</c:v>
                </c:pt>
                <c:pt idx="674">
                  <c:v>4.3021341894312115E-2</c:v>
                </c:pt>
                <c:pt idx="675">
                  <c:v>5.4565215092821751E-2</c:v>
                </c:pt>
                <c:pt idx="676">
                  <c:v>5.6255178917947929E-2</c:v>
                </c:pt>
                <c:pt idx="677">
                  <c:v>5.2440769063277055E-2</c:v>
                </c:pt>
                <c:pt idx="678">
                  <c:v>4.1569137622031037E-2</c:v>
                </c:pt>
                <c:pt idx="679">
                  <c:v>5.548476186045756E-2</c:v>
                </c:pt>
                <c:pt idx="680">
                  <c:v>5.154693669424236E-2</c:v>
                </c:pt>
                <c:pt idx="681">
                  <c:v>4.1157208094646028E-2</c:v>
                </c:pt>
                <c:pt idx="682">
                  <c:v>7.2249680368216773E-2</c:v>
                </c:pt>
                <c:pt idx="683">
                  <c:v>5.8475984727992078E-2</c:v>
                </c:pt>
                <c:pt idx="684">
                  <c:v>4.1162458596354194E-2</c:v>
                </c:pt>
                <c:pt idx="685">
                  <c:v>4.3697171060470601E-2</c:v>
                </c:pt>
                <c:pt idx="686">
                  <c:v>3.6861730785176627E-2</c:v>
                </c:pt>
                <c:pt idx="687">
                  <c:v>5.1784786794048271E-2</c:v>
                </c:pt>
                <c:pt idx="688">
                  <c:v>6.4444609215039195E-2</c:v>
                </c:pt>
                <c:pt idx="689">
                  <c:v>5.962965130345188E-2</c:v>
                </c:pt>
                <c:pt idx="690">
                  <c:v>5.731593147814032E-2</c:v>
                </c:pt>
                <c:pt idx="691">
                  <c:v>3.4962337210545646E-2</c:v>
                </c:pt>
                <c:pt idx="692">
                  <c:v>4.6238464592567016E-2</c:v>
                </c:pt>
                <c:pt idx="693">
                  <c:v>4.66232251816871E-2</c:v>
                </c:pt>
                <c:pt idx="694">
                  <c:v>4.8460638148790369E-2</c:v>
                </c:pt>
                <c:pt idx="695">
                  <c:v>6.314644788244328E-2</c:v>
                </c:pt>
                <c:pt idx="696">
                  <c:v>3.8577140838247349E-2</c:v>
                </c:pt>
                <c:pt idx="697">
                  <c:v>6.1903580099436882E-2</c:v>
                </c:pt>
                <c:pt idx="698">
                  <c:v>4.7374188782652371E-2</c:v>
                </c:pt>
                <c:pt idx="699">
                  <c:v>5.2292072793917829E-2</c:v>
                </c:pt>
                <c:pt idx="700">
                  <c:v>3.1438175289822658E-2</c:v>
                </c:pt>
                <c:pt idx="701">
                  <c:v>6.2856080505512252E-2</c:v>
                </c:pt>
                <c:pt idx="702">
                  <c:v>5.4644492965154168E-2</c:v>
                </c:pt>
                <c:pt idx="703">
                  <c:v>6.7706870406218492E-2</c:v>
                </c:pt>
                <c:pt idx="704">
                  <c:v>4.3023309706676387E-2</c:v>
                </c:pt>
                <c:pt idx="705">
                  <c:v>6.116153767455694E-2</c:v>
                </c:pt>
                <c:pt idx="706">
                  <c:v>5.4658016458678862E-2</c:v>
                </c:pt>
                <c:pt idx="707">
                  <c:v>6.2303113360514834E-2</c:v>
                </c:pt>
                <c:pt idx="708">
                  <c:v>4.6543740639097303E-2</c:v>
                </c:pt>
                <c:pt idx="709">
                  <c:v>3.9377648494079237E-2</c:v>
                </c:pt>
                <c:pt idx="710">
                  <c:v>3.6801799776107577E-2</c:v>
                </c:pt>
                <c:pt idx="711">
                  <c:v>5.5403063002024244E-2</c:v>
                </c:pt>
                <c:pt idx="712">
                  <c:v>5.7567636508497978E-2</c:v>
                </c:pt>
                <c:pt idx="713">
                  <c:v>5.695121767289138E-2</c:v>
                </c:pt>
                <c:pt idx="714">
                  <c:v>5.8733066859564323E-2</c:v>
                </c:pt>
                <c:pt idx="715">
                  <c:v>5.4242438837892128E-2</c:v>
                </c:pt>
                <c:pt idx="716">
                  <c:v>4.8813197731734911E-2</c:v>
                </c:pt>
                <c:pt idx="717">
                  <c:v>6.0145013083424653E-2</c:v>
                </c:pt>
                <c:pt idx="718">
                  <c:v>5.6976279935250292E-2</c:v>
                </c:pt>
                <c:pt idx="719">
                  <c:v>3.5954751869718096E-2</c:v>
                </c:pt>
                <c:pt idx="720">
                  <c:v>5.3557212798120313E-2</c:v>
                </c:pt>
                <c:pt idx="721">
                  <c:v>5.9105402663632248E-2</c:v>
                </c:pt>
                <c:pt idx="722">
                  <c:v>6.9559552353079701E-2</c:v>
                </c:pt>
                <c:pt idx="723">
                  <c:v>5.7832976014665555E-2</c:v>
                </c:pt>
                <c:pt idx="724">
                  <c:v>4.6060309700205221E-2</c:v>
                </c:pt>
                <c:pt idx="725">
                  <c:v>4.4811870643026296E-2</c:v>
                </c:pt>
                <c:pt idx="726">
                  <c:v>4.6332788889369328E-2</c:v>
                </c:pt>
                <c:pt idx="727">
                  <c:v>4.4735763743058987E-2</c:v>
                </c:pt>
                <c:pt idx="728">
                  <c:v>4.383084271280354E-2</c:v>
                </c:pt>
                <c:pt idx="729">
                  <c:v>5.4860829985127257E-2</c:v>
                </c:pt>
                <c:pt idx="730">
                  <c:v>5.6015356731756435E-2</c:v>
                </c:pt>
                <c:pt idx="731">
                  <c:v>4.7190672555935481E-2</c:v>
                </c:pt>
                <c:pt idx="732">
                  <c:v>5.9405654679873521E-2</c:v>
                </c:pt>
                <c:pt idx="733">
                  <c:v>6.0034609181966542E-2</c:v>
                </c:pt>
                <c:pt idx="734">
                  <c:v>5.1607743620995822E-2</c:v>
                </c:pt>
                <c:pt idx="735">
                  <c:v>4.9859510888961296E-2</c:v>
                </c:pt>
                <c:pt idx="736">
                  <c:v>5.4382295481878645E-2</c:v>
                </c:pt>
                <c:pt idx="737">
                  <c:v>5.9539774949708663E-2</c:v>
                </c:pt>
                <c:pt idx="738">
                  <c:v>3.6699156183588683E-2</c:v>
                </c:pt>
                <c:pt idx="739">
                  <c:v>7.2777772640870791E-2</c:v>
                </c:pt>
                <c:pt idx="740">
                  <c:v>4.9858285943030406E-2</c:v>
                </c:pt>
                <c:pt idx="741">
                  <c:v>4.5959632051846867E-2</c:v>
                </c:pt>
                <c:pt idx="742">
                  <c:v>6.9390247122159132E-2</c:v>
                </c:pt>
                <c:pt idx="743">
                  <c:v>4.1101838550555193E-2</c:v>
                </c:pt>
                <c:pt idx="744">
                  <c:v>4.7573541361375433E-2</c:v>
                </c:pt>
                <c:pt idx="745">
                  <c:v>6.4564642389755539E-2</c:v>
                </c:pt>
                <c:pt idx="746">
                  <c:v>5.2709235652011563E-2</c:v>
                </c:pt>
                <c:pt idx="747">
                  <c:v>5.2375296898402604E-2</c:v>
                </c:pt>
                <c:pt idx="748">
                  <c:v>4.8946147772246651E-2</c:v>
                </c:pt>
                <c:pt idx="749">
                  <c:v>7.0167877616910151E-2</c:v>
                </c:pt>
                <c:pt idx="750">
                  <c:v>6.9183105882928003E-2</c:v>
                </c:pt>
                <c:pt idx="751">
                  <c:v>5.4982735667812449E-2</c:v>
                </c:pt>
                <c:pt idx="752">
                  <c:v>4.3110939895349865E-2</c:v>
                </c:pt>
                <c:pt idx="753">
                  <c:v>7.3717492699448092E-2</c:v>
                </c:pt>
                <c:pt idx="754">
                  <c:v>7.3389135740436692E-2</c:v>
                </c:pt>
                <c:pt idx="755">
                  <c:v>5.2495873106535695E-2</c:v>
                </c:pt>
                <c:pt idx="756">
                  <c:v>5.5631346907402582E-2</c:v>
                </c:pt>
                <c:pt idx="757">
                  <c:v>5.197238930154497E-2</c:v>
                </c:pt>
                <c:pt idx="758">
                  <c:v>6.0495647670514074E-2</c:v>
                </c:pt>
                <c:pt idx="759">
                  <c:v>4.0825533741618618E-2</c:v>
                </c:pt>
                <c:pt idx="760">
                  <c:v>5.0174217318224829E-2</c:v>
                </c:pt>
                <c:pt idx="761">
                  <c:v>4.7470318473296177E-2</c:v>
                </c:pt>
                <c:pt idx="762">
                  <c:v>6.3839701720312281E-2</c:v>
                </c:pt>
                <c:pt idx="763">
                  <c:v>3.5304135121604678E-2</c:v>
                </c:pt>
                <c:pt idx="764">
                  <c:v>5.217200454765103E-2</c:v>
                </c:pt>
                <c:pt idx="765">
                  <c:v>4.1713486836816638E-2</c:v>
                </c:pt>
                <c:pt idx="766">
                  <c:v>5.3337084492920753E-2</c:v>
                </c:pt>
                <c:pt idx="767">
                  <c:v>5.8282362835113163E-2</c:v>
                </c:pt>
                <c:pt idx="768">
                  <c:v>6.5482002788690707E-2</c:v>
                </c:pt>
                <c:pt idx="769">
                  <c:v>3.56419733642932E-2</c:v>
                </c:pt>
                <c:pt idx="770">
                  <c:v>4.6343537780886193E-2</c:v>
                </c:pt>
                <c:pt idx="771">
                  <c:v>4.776005347348028E-2</c:v>
                </c:pt>
                <c:pt idx="772">
                  <c:v>5.7655242804762127E-2</c:v>
                </c:pt>
                <c:pt idx="773">
                  <c:v>6.2664360226521859E-2</c:v>
                </c:pt>
                <c:pt idx="774">
                  <c:v>6.0352267606079431E-2</c:v>
                </c:pt>
                <c:pt idx="775">
                  <c:v>5.6621722884424699E-2</c:v>
                </c:pt>
                <c:pt idx="776">
                  <c:v>5.0749091833146513E-2</c:v>
                </c:pt>
                <c:pt idx="777">
                  <c:v>5.6569396940383432E-2</c:v>
                </c:pt>
                <c:pt idx="778">
                  <c:v>5.094647191311058E-2</c:v>
                </c:pt>
                <c:pt idx="779">
                  <c:v>4.2652437870568161E-2</c:v>
                </c:pt>
                <c:pt idx="780">
                  <c:v>6.1766515001572549E-2</c:v>
                </c:pt>
                <c:pt idx="781">
                  <c:v>4.9748295000198506E-2</c:v>
                </c:pt>
                <c:pt idx="782">
                  <c:v>5.2749398729659225E-2</c:v>
                </c:pt>
                <c:pt idx="783">
                  <c:v>5.3454046173382813E-2</c:v>
                </c:pt>
                <c:pt idx="784">
                  <c:v>4.5104522852845101E-2</c:v>
                </c:pt>
                <c:pt idx="785">
                  <c:v>7.2611320076545152E-2</c:v>
                </c:pt>
                <c:pt idx="786">
                  <c:v>5.0924607155575959E-2</c:v>
                </c:pt>
                <c:pt idx="787">
                  <c:v>4.313753352179435E-2</c:v>
                </c:pt>
                <c:pt idx="788">
                  <c:v>4.5274462475975885E-2</c:v>
                </c:pt>
                <c:pt idx="789">
                  <c:v>4.4463552395504397E-2</c:v>
                </c:pt>
                <c:pt idx="790">
                  <c:v>4.3798475473826384E-2</c:v>
                </c:pt>
                <c:pt idx="791">
                  <c:v>4.4883297575284059E-2</c:v>
                </c:pt>
                <c:pt idx="792">
                  <c:v>5.5272317248569042E-2</c:v>
                </c:pt>
                <c:pt idx="793">
                  <c:v>5.843125104662962E-2</c:v>
                </c:pt>
                <c:pt idx="794">
                  <c:v>6.5702302819277539E-2</c:v>
                </c:pt>
                <c:pt idx="795">
                  <c:v>5.0143398211947202E-2</c:v>
                </c:pt>
                <c:pt idx="796">
                  <c:v>4.302971997968507E-2</c:v>
                </c:pt>
                <c:pt idx="797">
                  <c:v>3.7363436337426031E-2</c:v>
                </c:pt>
                <c:pt idx="798">
                  <c:v>6.3474596319045312E-2</c:v>
                </c:pt>
                <c:pt idx="799">
                  <c:v>5.1498207544740632E-2</c:v>
                </c:pt>
                <c:pt idx="800">
                  <c:v>5.0374990729549152E-2</c:v>
                </c:pt>
                <c:pt idx="801">
                  <c:v>4.3388045938818454E-2</c:v>
                </c:pt>
                <c:pt idx="802">
                  <c:v>5.7618611633487332E-2</c:v>
                </c:pt>
                <c:pt idx="803">
                  <c:v>6.0108041630091959E-2</c:v>
                </c:pt>
                <c:pt idx="804">
                  <c:v>4.6032408118125485E-2</c:v>
                </c:pt>
                <c:pt idx="805">
                  <c:v>4.5878514035238294E-2</c:v>
                </c:pt>
                <c:pt idx="806">
                  <c:v>5.0984151325006583E-2</c:v>
                </c:pt>
                <c:pt idx="807">
                  <c:v>3.5419298498538698E-2</c:v>
                </c:pt>
                <c:pt idx="808">
                  <c:v>4.31302683883358E-2</c:v>
                </c:pt>
                <c:pt idx="809">
                  <c:v>5.3778274508441373E-2</c:v>
                </c:pt>
                <c:pt idx="810">
                  <c:v>3.8935750058840465E-2</c:v>
                </c:pt>
                <c:pt idx="811">
                  <c:v>6.1867324311140399E-2</c:v>
                </c:pt>
                <c:pt idx="812">
                  <c:v>4.1894214261999477E-2</c:v>
                </c:pt>
                <c:pt idx="813">
                  <c:v>4.8144960049407479E-2</c:v>
                </c:pt>
                <c:pt idx="814">
                  <c:v>5.1352540091343692E-2</c:v>
                </c:pt>
                <c:pt idx="815">
                  <c:v>5.8420900252282415E-2</c:v>
                </c:pt>
                <c:pt idx="816">
                  <c:v>5.9710734841776969E-2</c:v>
                </c:pt>
                <c:pt idx="817">
                  <c:v>5.1567560276733128E-2</c:v>
                </c:pt>
                <c:pt idx="818">
                  <c:v>6.4688943196906434E-2</c:v>
                </c:pt>
                <c:pt idx="819">
                  <c:v>5.2359075820851947E-2</c:v>
                </c:pt>
                <c:pt idx="820">
                  <c:v>4.3620269141062193E-2</c:v>
                </c:pt>
                <c:pt idx="821">
                  <c:v>6.8537664348310157E-2</c:v>
                </c:pt>
                <c:pt idx="822">
                  <c:v>5.8038525440393736E-2</c:v>
                </c:pt>
                <c:pt idx="823">
                  <c:v>6.0304995355410132E-2</c:v>
                </c:pt>
                <c:pt idx="824">
                  <c:v>4.4757023257447688E-2</c:v>
                </c:pt>
                <c:pt idx="825">
                  <c:v>3.5788887167192501E-2</c:v>
                </c:pt>
                <c:pt idx="826">
                  <c:v>5.2983139016600872E-2</c:v>
                </c:pt>
                <c:pt idx="827">
                  <c:v>5.7131697527410361E-2</c:v>
                </c:pt>
                <c:pt idx="828">
                  <c:v>4.071437906896487E-2</c:v>
                </c:pt>
                <c:pt idx="829">
                  <c:v>5.0353846615316472E-2</c:v>
                </c:pt>
                <c:pt idx="830">
                  <c:v>4.7907761355369449E-2</c:v>
                </c:pt>
                <c:pt idx="831">
                  <c:v>6.7526812521062712E-2</c:v>
                </c:pt>
                <c:pt idx="832">
                  <c:v>3.8673570806693966E-2</c:v>
                </c:pt>
                <c:pt idx="833">
                  <c:v>4.3678425941621996E-2</c:v>
                </c:pt>
                <c:pt idx="834">
                  <c:v>5.1424553046517149E-2</c:v>
                </c:pt>
                <c:pt idx="835">
                  <c:v>4.5024112350904845E-2</c:v>
                </c:pt>
                <c:pt idx="836">
                  <c:v>5.6673970581846651E-2</c:v>
                </c:pt>
                <c:pt idx="837">
                  <c:v>3.860940039171027E-2</c:v>
                </c:pt>
                <c:pt idx="838">
                  <c:v>5.014346572205805E-2</c:v>
                </c:pt>
                <c:pt idx="839">
                  <c:v>4.9399798178151225E-2</c:v>
                </c:pt>
                <c:pt idx="840">
                  <c:v>4.7619386670309474E-2</c:v>
                </c:pt>
                <c:pt idx="841">
                  <c:v>3.9804782669215312E-2</c:v>
                </c:pt>
                <c:pt idx="842">
                  <c:v>6.0758064837264911E-2</c:v>
                </c:pt>
                <c:pt idx="843">
                  <c:v>5.4902822576156723E-2</c:v>
                </c:pt>
                <c:pt idx="844">
                  <c:v>3.6708548962105618E-2</c:v>
                </c:pt>
                <c:pt idx="845">
                  <c:v>6.0268111590792213E-2</c:v>
                </c:pt>
                <c:pt idx="846">
                  <c:v>4.8325433230340185E-2</c:v>
                </c:pt>
                <c:pt idx="847">
                  <c:v>5.6746491294205573E-2</c:v>
                </c:pt>
                <c:pt idx="848">
                  <c:v>5.0183978066743018E-2</c:v>
                </c:pt>
                <c:pt idx="849">
                  <c:v>5.8967971778295908E-2</c:v>
                </c:pt>
                <c:pt idx="850">
                  <c:v>5.7961254413126669E-2</c:v>
                </c:pt>
                <c:pt idx="851">
                  <c:v>4.711400964969846E-2</c:v>
                </c:pt>
                <c:pt idx="852">
                  <c:v>6.5024509331884417E-2</c:v>
                </c:pt>
                <c:pt idx="853">
                  <c:v>6.1951376288106028E-2</c:v>
                </c:pt>
                <c:pt idx="854">
                  <c:v>4.5318725616729311E-2</c:v>
                </c:pt>
                <c:pt idx="855">
                  <c:v>4.9403733632844851E-2</c:v>
                </c:pt>
                <c:pt idx="856">
                  <c:v>6.0825540886039989E-2</c:v>
                </c:pt>
                <c:pt idx="857">
                  <c:v>6.1067451590920925E-2</c:v>
                </c:pt>
                <c:pt idx="858">
                  <c:v>5.5547745712475158E-2</c:v>
                </c:pt>
                <c:pt idx="859">
                  <c:v>5.4696965775604796E-2</c:v>
                </c:pt>
                <c:pt idx="860">
                  <c:v>3.3751446975245777E-2</c:v>
                </c:pt>
                <c:pt idx="861">
                  <c:v>4.1116866963804996E-2</c:v>
                </c:pt>
                <c:pt idx="862">
                  <c:v>5.794909298893694E-2</c:v>
                </c:pt>
                <c:pt idx="863">
                  <c:v>3.8464064651583189E-2</c:v>
                </c:pt>
                <c:pt idx="864">
                  <c:v>5.4055474474291626E-2</c:v>
                </c:pt>
                <c:pt idx="865">
                  <c:v>3.4574527076652095E-2</c:v>
                </c:pt>
                <c:pt idx="866">
                  <c:v>5.6242668706152701E-2</c:v>
                </c:pt>
                <c:pt idx="867">
                  <c:v>3.788782099176425E-2</c:v>
                </c:pt>
                <c:pt idx="868">
                  <c:v>5.3519008874715251E-2</c:v>
                </c:pt>
                <c:pt idx="869">
                  <c:v>5.0185567769606101E-2</c:v>
                </c:pt>
                <c:pt idx="870">
                  <c:v>5.3235044573376883E-2</c:v>
                </c:pt>
                <c:pt idx="871">
                  <c:v>3.9978917665613109E-2</c:v>
                </c:pt>
                <c:pt idx="872">
                  <c:v>4.7612509980330842E-2</c:v>
                </c:pt>
                <c:pt idx="873">
                  <c:v>3.5433787506499385E-2</c:v>
                </c:pt>
                <c:pt idx="874">
                  <c:v>6.8470196632493319E-2</c:v>
                </c:pt>
                <c:pt idx="875">
                  <c:v>5.8586482882462057E-2</c:v>
                </c:pt>
                <c:pt idx="876">
                  <c:v>7.2027599358218924E-2</c:v>
                </c:pt>
                <c:pt idx="877">
                  <c:v>4.851110518903172E-2</c:v>
                </c:pt>
                <c:pt idx="878">
                  <c:v>4.8307107158332904E-2</c:v>
                </c:pt>
                <c:pt idx="879">
                  <c:v>5.8324960624556721E-2</c:v>
                </c:pt>
                <c:pt idx="880">
                  <c:v>6.15523270501439E-2</c:v>
                </c:pt>
                <c:pt idx="881">
                  <c:v>5.0023580634049054E-2</c:v>
                </c:pt>
                <c:pt idx="882">
                  <c:v>7.1198129621130452E-2</c:v>
                </c:pt>
                <c:pt idx="883">
                  <c:v>4.9962813085732437E-2</c:v>
                </c:pt>
                <c:pt idx="884">
                  <c:v>5.3557042708491265E-2</c:v>
                </c:pt>
                <c:pt idx="885">
                  <c:v>5.0696823353463608E-2</c:v>
                </c:pt>
                <c:pt idx="886">
                  <c:v>5.5974085455983077E-2</c:v>
                </c:pt>
                <c:pt idx="887">
                  <c:v>5.0590020404875952E-2</c:v>
                </c:pt>
                <c:pt idx="888">
                  <c:v>3.8829379880173348E-2</c:v>
                </c:pt>
                <c:pt idx="889">
                  <c:v>6.0275501761806738E-2</c:v>
                </c:pt>
                <c:pt idx="890">
                  <c:v>7.3018044439873281E-2</c:v>
                </c:pt>
                <c:pt idx="891">
                  <c:v>4.8710117814805484E-2</c:v>
                </c:pt>
                <c:pt idx="892">
                  <c:v>5.942583639828955E-2</c:v>
                </c:pt>
                <c:pt idx="893">
                  <c:v>6.4748309154895017E-2</c:v>
                </c:pt>
                <c:pt idx="894">
                  <c:v>7.3865677762167681E-2</c:v>
                </c:pt>
                <c:pt idx="895">
                  <c:v>3.6131825437845815E-2</c:v>
                </c:pt>
                <c:pt idx="896">
                  <c:v>5.5471838637462662E-2</c:v>
                </c:pt>
                <c:pt idx="897">
                  <c:v>5.9230444342206104E-2</c:v>
                </c:pt>
                <c:pt idx="898">
                  <c:v>3.615737487701106E-2</c:v>
                </c:pt>
                <c:pt idx="899">
                  <c:v>4.0458579879830057E-2</c:v>
                </c:pt>
                <c:pt idx="900">
                  <c:v>5.7433329088854963E-2</c:v>
                </c:pt>
                <c:pt idx="901">
                  <c:v>5.4473019961721228E-2</c:v>
                </c:pt>
                <c:pt idx="902">
                  <c:v>5.6484440823511756E-2</c:v>
                </c:pt>
                <c:pt idx="903">
                  <c:v>3.3624784138198673E-2</c:v>
                </c:pt>
                <c:pt idx="904">
                  <c:v>5.4202792644752737E-2</c:v>
                </c:pt>
                <c:pt idx="905">
                  <c:v>5.2297051696358593E-2</c:v>
                </c:pt>
                <c:pt idx="906">
                  <c:v>3.9690000673129736E-2</c:v>
                </c:pt>
                <c:pt idx="907">
                  <c:v>3.2211556683551669E-2</c:v>
                </c:pt>
                <c:pt idx="908">
                  <c:v>4.5411574723967951E-2</c:v>
                </c:pt>
                <c:pt idx="909">
                  <c:v>6.7820087507962118E-2</c:v>
                </c:pt>
                <c:pt idx="910">
                  <c:v>5.9311440011612135E-2</c:v>
                </c:pt>
                <c:pt idx="911">
                  <c:v>6.4787720306627328E-2</c:v>
                </c:pt>
                <c:pt idx="912">
                  <c:v>6.3983313847154943E-2</c:v>
                </c:pt>
                <c:pt idx="913">
                  <c:v>6.0012030427558927E-2</c:v>
                </c:pt>
                <c:pt idx="914">
                  <c:v>5.1553233485772343E-2</c:v>
                </c:pt>
                <c:pt idx="915">
                  <c:v>6.5350058266518074E-2</c:v>
                </c:pt>
                <c:pt idx="916">
                  <c:v>5.7327715755109865E-2</c:v>
                </c:pt>
                <c:pt idx="917">
                  <c:v>4.1193489591367954E-2</c:v>
                </c:pt>
                <c:pt idx="918">
                  <c:v>3.8435112049639411E-2</c:v>
                </c:pt>
                <c:pt idx="919">
                  <c:v>4.1621595782830138E-2</c:v>
                </c:pt>
                <c:pt idx="920">
                  <c:v>5.4383391588457966E-2</c:v>
                </c:pt>
                <c:pt idx="921">
                  <c:v>4.262000134393161E-2</c:v>
                </c:pt>
                <c:pt idx="922">
                  <c:v>6.1618436536321985E-2</c:v>
                </c:pt>
                <c:pt idx="923">
                  <c:v>5.4584557359730557E-2</c:v>
                </c:pt>
                <c:pt idx="924">
                  <c:v>5.6722376736613192E-2</c:v>
                </c:pt>
                <c:pt idx="925">
                  <c:v>6.4810230084558024E-2</c:v>
                </c:pt>
                <c:pt idx="926">
                  <c:v>5.273682114708729E-2</c:v>
                </c:pt>
                <c:pt idx="927">
                  <c:v>7.2657543915540523E-2</c:v>
                </c:pt>
                <c:pt idx="928">
                  <c:v>6.2612896914924582E-2</c:v>
                </c:pt>
                <c:pt idx="929">
                  <c:v>5.718533208778008E-2</c:v>
                </c:pt>
                <c:pt idx="930">
                  <c:v>5.8272044064632794E-2</c:v>
                </c:pt>
                <c:pt idx="931">
                  <c:v>5.7835269672326411E-2</c:v>
                </c:pt>
                <c:pt idx="932">
                  <c:v>4.4951695304240737E-2</c:v>
                </c:pt>
                <c:pt idx="933">
                  <c:v>6.5005049986092633E-2</c:v>
                </c:pt>
                <c:pt idx="934">
                  <c:v>7.7672798355920392E-2</c:v>
                </c:pt>
                <c:pt idx="935">
                  <c:v>4.8670071263748879E-2</c:v>
                </c:pt>
                <c:pt idx="936">
                  <c:v>5.3240765301614437E-2</c:v>
                </c:pt>
                <c:pt idx="937">
                  <c:v>4.4525571806713196E-2</c:v>
                </c:pt>
                <c:pt idx="938">
                  <c:v>5.50525178161149E-2</c:v>
                </c:pt>
                <c:pt idx="939">
                  <c:v>4.2154322663420396E-2</c:v>
                </c:pt>
                <c:pt idx="940">
                  <c:v>5.1002359114824258E-2</c:v>
                </c:pt>
                <c:pt idx="941">
                  <c:v>4.0220167126567147E-2</c:v>
                </c:pt>
                <c:pt idx="942">
                  <c:v>6.3943331019201244E-2</c:v>
                </c:pt>
                <c:pt idx="943">
                  <c:v>6.0628822474668331E-2</c:v>
                </c:pt>
                <c:pt idx="944">
                  <c:v>6.3220726706103736E-2</c:v>
                </c:pt>
                <c:pt idx="945">
                  <c:v>4.1237560905716023E-2</c:v>
                </c:pt>
                <c:pt idx="946">
                  <c:v>6.2032953801559251E-2</c:v>
                </c:pt>
                <c:pt idx="947">
                  <c:v>4.4944455067776688E-2</c:v>
                </c:pt>
                <c:pt idx="948">
                  <c:v>5.530013742283256E-2</c:v>
                </c:pt>
                <c:pt idx="949">
                  <c:v>6.0876372323706199E-2</c:v>
                </c:pt>
                <c:pt idx="950">
                  <c:v>5.3563206622276545E-2</c:v>
                </c:pt>
                <c:pt idx="951">
                  <c:v>4.6245612020446282E-2</c:v>
                </c:pt>
                <c:pt idx="952">
                  <c:v>4.5436948187580033E-2</c:v>
                </c:pt>
                <c:pt idx="953">
                  <c:v>7.1241397130947737E-2</c:v>
                </c:pt>
                <c:pt idx="954">
                  <c:v>7.3070260450053992E-2</c:v>
                </c:pt>
                <c:pt idx="955">
                  <c:v>4.5011687802261342E-2</c:v>
                </c:pt>
                <c:pt idx="956">
                  <c:v>6.0146694893517635E-2</c:v>
                </c:pt>
                <c:pt idx="957">
                  <c:v>5.2164524589899126E-2</c:v>
                </c:pt>
                <c:pt idx="958">
                  <c:v>5.1316670681305056E-2</c:v>
                </c:pt>
                <c:pt idx="959">
                  <c:v>4.6352342487732054E-2</c:v>
                </c:pt>
                <c:pt idx="960">
                  <c:v>5.9176708777670603E-2</c:v>
                </c:pt>
                <c:pt idx="961">
                  <c:v>6.5089122134122629E-2</c:v>
                </c:pt>
                <c:pt idx="962">
                  <c:v>4.0406554911722015E-2</c:v>
                </c:pt>
                <c:pt idx="963">
                  <c:v>4.7760414736362021E-2</c:v>
                </c:pt>
                <c:pt idx="964">
                  <c:v>6.5695198234285601E-2</c:v>
                </c:pt>
                <c:pt idx="965">
                  <c:v>4.9530302492834716E-2</c:v>
                </c:pt>
                <c:pt idx="966">
                  <c:v>3.6647352585511814E-2</c:v>
                </c:pt>
                <c:pt idx="967">
                  <c:v>5.1597988381096416E-2</c:v>
                </c:pt>
                <c:pt idx="968">
                  <c:v>4.3895450595911059E-2</c:v>
                </c:pt>
                <c:pt idx="969">
                  <c:v>6.6876936240665499E-2</c:v>
                </c:pt>
                <c:pt idx="970">
                  <c:v>6.1811056017545572E-2</c:v>
                </c:pt>
                <c:pt idx="971">
                  <c:v>3.5684432150113077E-2</c:v>
                </c:pt>
                <c:pt idx="972">
                  <c:v>4.6107168323729658E-2</c:v>
                </c:pt>
                <c:pt idx="973">
                  <c:v>5.7364221475662114E-2</c:v>
                </c:pt>
                <c:pt idx="974">
                  <c:v>5.0860970018659482E-2</c:v>
                </c:pt>
                <c:pt idx="975">
                  <c:v>6.4026567091222591E-2</c:v>
                </c:pt>
                <c:pt idx="976">
                  <c:v>5.5367067371397516E-2</c:v>
                </c:pt>
                <c:pt idx="977">
                  <c:v>3.5393122693974391E-2</c:v>
                </c:pt>
                <c:pt idx="978">
                  <c:v>4.1135564521084439E-2</c:v>
                </c:pt>
                <c:pt idx="979">
                  <c:v>5.1856324078963859E-2</c:v>
                </c:pt>
                <c:pt idx="980">
                  <c:v>4.6113435387041504E-2</c:v>
                </c:pt>
                <c:pt idx="981">
                  <c:v>4.6667598096245766E-2</c:v>
                </c:pt>
                <c:pt idx="982">
                  <c:v>6.3820387656425059E-2</c:v>
                </c:pt>
                <c:pt idx="983">
                  <c:v>6.2537666197361036E-2</c:v>
                </c:pt>
                <c:pt idx="984">
                  <c:v>6.3816478767081408E-2</c:v>
                </c:pt>
                <c:pt idx="985">
                  <c:v>5.2829763966383725E-2</c:v>
                </c:pt>
                <c:pt idx="986">
                  <c:v>5.1675315758575632E-2</c:v>
                </c:pt>
                <c:pt idx="987">
                  <c:v>5.6547896071226789E-2</c:v>
                </c:pt>
                <c:pt idx="988">
                  <c:v>4.5024557680186164E-2</c:v>
                </c:pt>
                <c:pt idx="989">
                  <c:v>5.0035342651536134E-2</c:v>
                </c:pt>
                <c:pt idx="990">
                  <c:v>6.3498211592674436E-2</c:v>
                </c:pt>
                <c:pt idx="991">
                  <c:v>5.4748033084253855E-2</c:v>
                </c:pt>
                <c:pt idx="992">
                  <c:v>5.12204018857874E-2</c:v>
                </c:pt>
                <c:pt idx="993">
                  <c:v>4.5676449727721044E-2</c:v>
                </c:pt>
                <c:pt idx="994">
                  <c:v>4.6870132403755552E-2</c:v>
                </c:pt>
                <c:pt idx="995">
                  <c:v>3.3476608865053478E-2</c:v>
                </c:pt>
                <c:pt idx="996">
                  <c:v>6.4215384794206826E-2</c:v>
                </c:pt>
                <c:pt idx="997">
                  <c:v>5.3322858306823304E-2</c:v>
                </c:pt>
                <c:pt idx="998">
                  <c:v>4.3155591818215079E-2</c:v>
                </c:pt>
                <c:pt idx="999">
                  <c:v>4.6269213150265852E-2</c:v>
                </c:pt>
                <c:pt idx="1000">
                  <c:v>6.0896262799444545E-2</c:v>
                </c:pt>
                <c:pt idx="1001">
                  <c:v>5.172959383562542E-2</c:v>
                </c:pt>
                <c:pt idx="1002">
                  <c:v>6.1660714007866789E-2</c:v>
                </c:pt>
                <c:pt idx="1003">
                  <c:v>6.541693024880843E-2</c:v>
                </c:pt>
                <c:pt idx="1004">
                  <c:v>5.1876072252612988E-2</c:v>
                </c:pt>
                <c:pt idx="1005">
                  <c:v>4.9343518268498858E-2</c:v>
                </c:pt>
                <c:pt idx="1006">
                  <c:v>4.1766394020507192E-2</c:v>
                </c:pt>
                <c:pt idx="1007">
                  <c:v>4.4453671982685433E-2</c:v>
                </c:pt>
                <c:pt idx="1008">
                  <c:v>6.7640166423700326E-2</c:v>
                </c:pt>
                <c:pt idx="1009">
                  <c:v>4.7886631600066606E-2</c:v>
                </c:pt>
                <c:pt idx="1010">
                  <c:v>3.7502428443318012E-2</c:v>
                </c:pt>
                <c:pt idx="1011">
                  <c:v>6.6390202558651551E-2</c:v>
                </c:pt>
                <c:pt idx="1012">
                  <c:v>6.3799452706825244E-2</c:v>
                </c:pt>
                <c:pt idx="1013">
                  <c:v>6.6733779508159979E-2</c:v>
                </c:pt>
                <c:pt idx="1014">
                  <c:v>5.32573763358146E-2</c:v>
                </c:pt>
                <c:pt idx="1015">
                  <c:v>6.1887730208589488E-2</c:v>
                </c:pt>
                <c:pt idx="1016">
                  <c:v>4.8087400983466713E-2</c:v>
                </c:pt>
                <c:pt idx="1017">
                  <c:v>6.564555804324694E-2</c:v>
                </c:pt>
                <c:pt idx="1018">
                  <c:v>5.510511059215295E-2</c:v>
                </c:pt>
                <c:pt idx="1019">
                  <c:v>4.3874235056941054E-2</c:v>
                </c:pt>
                <c:pt idx="1020">
                  <c:v>4.054083123855115E-2</c:v>
                </c:pt>
              </c:numCache>
            </c:numRef>
          </c:xVal>
          <c:yVal>
            <c:numRef>
              <c:f>Rates!$F$66:$F$1086</c:f>
              <c:numCache>
                <c:formatCode>0.00%</c:formatCode>
                <c:ptCount val="1021"/>
                <c:pt idx="0">
                  <c:v>0.1</c:v>
                </c:pt>
                <c:pt idx="1">
                  <c:v>0.10382083333333335</c:v>
                </c:pt>
                <c:pt idx="2">
                  <c:v>0.10755000000000001</c:v>
                </c:pt>
                <c:pt idx="3">
                  <c:v>0.11118750000000001</c:v>
                </c:pt>
                <c:pt idx="4">
                  <c:v>0.11473333333333335</c:v>
                </c:pt>
                <c:pt idx="5">
                  <c:v>0.11818750000000001</c:v>
                </c:pt>
                <c:pt idx="6">
                  <c:v>0.12154999999999999</c:v>
                </c:pt>
                <c:pt idx="7">
                  <c:v>0.12482083333333334</c:v>
                </c:pt>
                <c:pt idx="8">
                  <c:v>0.128</c:v>
                </c:pt>
                <c:pt idx="9">
                  <c:v>0.13108749999999997</c:v>
                </c:pt>
                <c:pt idx="10">
                  <c:v>0.13408333333333333</c:v>
                </c:pt>
                <c:pt idx="11">
                  <c:v>0.13698750000000001</c:v>
                </c:pt>
                <c:pt idx="12">
                  <c:v>0.13980000000000004</c:v>
                </c:pt>
                <c:pt idx="13">
                  <c:v>0.14252083333333337</c:v>
                </c:pt>
                <c:pt idx="14">
                  <c:v>0.14515</c:v>
                </c:pt>
                <c:pt idx="15">
                  <c:v>0.1476875</c:v>
                </c:pt>
                <c:pt idx="16">
                  <c:v>0.15013333333333334</c:v>
                </c:pt>
                <c:pt idx="17">
                  <c:v>0.1524875</c:v>
                </c:pt>
                <c:pt idx="18">
                  <c:v>0.15475</c:v>
                </c:pt>
                <c:pt idx="19">
                  <c:v>0.15692083333333334</c:v>
                </c:pt>
                <c:pt idx="20">
                  <c:v>0.159</c:v>
                </c:pt>
              </c:numCache>
            </c:numRef>
          </c:yVal>
          <c:smooth val="1"/>
          <c:extLst>
            <c:ext xmlns:c16="http://schemas.microsoft.com/office/drawing/2014/chart" uri="{C3380CC4-5D6E-409C-BE32-E72D297353CC}">
              <c16:uniqueId val="{00000003-419D-4DDF-8DB4-7A7BC0ABFBC2}"/>
            </c:ext>
          </c:extLst>
        </c:ser>
        <c:dLbls>
          <c:showLegendKey val="0"/>
          <c:showVal val="0"/>
          <c:showCatName val="0"/>
          <c:showSerName val="0"/>
          <c:showPercent val="0"/>
          <c:showBubbleSize val="0"/>
        </c:dLbls>
        <c:axId val="10"/>
        <c:axId val="20"/>
      </c:scatterChart>
      <c:valAx>
        <c:axId val="10"/>
        <c:scaling>
          <c:orientation val="minMax"/>
          <c:max val="0.09"/>
          <c:min val="0.02"/>
        </c:scaling>
        <c:delete val="0"/>
        <c:axPos val="b"/>
        <c:title>
          <c:tx>
            <c:rich>
              <a:bodyPr/>
              <a:lstStyle/>
              <a:p>
                <a:pPr>
                  <a:defRPr/>
                </a:pPr>
                <a:r>
                  <a:rPr lang="en-US"/>
                  <a:t>Interest rate</a:t>
                </a:r>
              </a:p>
            </c:rich>
          </c:tx>
          <c:overlay val="0"/>
        </c:title>
        <c:numFmt formatCode="0%" sourceLinked="0"/>
        <c:majorTickMark val="none"/>
        <c:minorTickMark val="none"/>
        <c:tickLblPos val="nextTo"/>
        <c:crossAx val="20"/>
        <c:crosses val="autoZero"/>
        <c:crossBetween val="midCat"/>
        <c:majorUnit val="0.01"/>
      </c:valAx>
      <c:valAx>
        <c:axId val="20"/>
        <c:scaling>
          <c:orientation val="minMax"/>
          <c:min val="0.04"/>
        </c:scaling>
        <c:delete val="0"/>
        <c:axPos val="l"/>
        <c:majorGridlines>
          <c:spPr>
            <a:ln>
              <a:solidFill>
                <a:srgbClr val="E4E9F0"/>
              </a:solidFill>
              <a:prstDash val="solid"/>
            </a:ln>
          </c:spPr>
        </c:majorGridlines>
        <c:title>
          <c:tx>
            <c:rich>
              <a:bodyPr/>
              <a:lstStyle/>
              <a:p>
                <a:pPr>
                  <a:defRPr/>
                </a:pPr>
                <a:r>
                  <a:rPr lang="en-US"/>
                  <a:t>Mortgage rate</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Interest rate</c:v>
          </c:tx>
          <c:spPr>
            <a:ln w="25400">
              <a:solidFill>
                <a:srgbClr val="0E4F92"/>
              </a:solidFill>
              <a:prstDash val="solid"/>
            </a:ln>
          </c:spPr>
          <c:marker>
            <c:symbol val="none"/>
          </c:marker>
          <c:xVal>
            <c:numRef>
              <c:f>Results!$D$38:$D$87</c:f>
              <c:numCache>
                <c:formatCode>#,##0.00</c:formatCode>
                <c:ptCount val="50"/>
                <c:pt idx="0">
                  <c:v>3.3438766552340252E-2</c:v>
                </c:pt>
                <c:pt idx="1">
                  <c:v>3.5501661921130898E-2</c:v>
                </c:pt>
                <c:pt idx="2">
                  <c:v>3.6851811842608634E-2</c:v>
                </c:pt>
                <c:pt idx="3">
                  <c:v>3.7975096423883567E-2</c:v>
                </c:pt>
                <c:pt idx="4">
                  <c:v>3.8929349169766432E-2</c:v>
                </c:pt>
                <c:pt idx="5">
                  <c:v>3.9817669471527602E-2</c:v>
                </c:pt>
                <c:pt idx="6">
                  <c:v>4.0636103434902072E-2</c:v>
                </c:pt>
                <c:pt idx="7">
                  <c:v>4.13827104922838E-2</c:v>
                </c:pt>
                <c:pt idx="8">
                  <c:v>4.211392199374181E-2</c:v>
                </c:pt>
                <c:pt idx="9">
                  <c:v>4.2705437441952085E-2</c:v>
                </c:pt>
                <c:pt idx="10">
                  <c:v>4.3351073110180133E-2</c:v>
                </c:pt>
                <c:pt idx="11">
                  <c:v>4.3985565508847704E-2</c:v>
                </c:pt>
                <c:pt idx="12">
                  <c:v>4.4570341627820836E-2</c:v>
                </c:pt>
                <c:pt idx="13">
                  <c:v>4.5154160465213339E-2</c:v>
                </c:pt>
                <c:pt idx="14">
                  <c:v>4.566822427667043E-2</c:v>
                </c:pt>
                <c:pt idx="15">
                  <c:v>4.621049327842866E-2</c:v>
                </c:pt>
                <c:pt idx="16">
                  <c:v>4.6753524534879409E-2</c:v>
                </c:pt>
                <c:pt idx="17">
                  <c:v>4.7350238182707477E-2</c:v>
                </c:pt>
                <c:pt idx="18">
                  <c:v>4.7882375908835359E-2</c:v>
                </c:pt>
                <c:pt idx="19">
                  <c:v>4.8437528093385182E-2</c:v>
                </c:pt>
                <c:pt idx="20">
                  <c:v>4.9005006051636373E-2</c:v>
                </c:pt>
                <c:pt idx="21">
                  <c:v>4.9477040706172509E-2</c:v>
                </c:pt>
                <c:pt idx="22">
                  <c:v>5.0041070898589744E-2</c:v>
                </c:pt>
                <c:pt idx="23">
                  <c:v>5.0594315383073546E-2</c:v>
                </c:pt>
                <c:pt idx="24">
                  <c:v>5.1090758807336809E-2</c:v>
                </c:pt>
                <c:pt idx="25">
                  <c:v>5.161701303374179E-2</c:v>
                </c:pt>
                <c:pt idx="26">
                  <c:v>5.2095188855561123E-2</c:v>
                </c:pt>
                <c:pt idx="27">
                  <c:v>5.2570520111263369E-2</c:v>
                </c:pt>
                <c:pt idx="28">
                  <c:v>5.3088259919040315E-2</c:v>
                </c:pt>
                <c:pt idx="29">
                  <c:v>5.3586726588035954E-2</c:v>
                </c:pt>
                <c:pt idx="30">
                  <c:v>5.4155467974458311E-2</c:v>
                </c:pt>
                <c:pt idx="31">
                  <c:v>5.4746075575174122E-2</c:v>
                </c:pt>
                <c:pt idx="32">
                  <c:v>5.5347514849852952E-2</c:v>
                </c:pt>
                <c:pt idx="33">
                  <c:v>5.594538422561815E-2</c:v>
                </c:pt>
                <c:pt idx="34">
                  <c:v>5.6555464598483436E-2</c:v>
                </c:pt>
                <c:pt idx="35">
                  <c:v>5.7189533560471115E-2</c:v>
                </c:pt>
                <c:pt idx="36">
                  <c:v>5.7797733402204662E-2</c:v>
                </c:pt>
                <c:pt idx="37">
                  <c:v>5.842628590127695E-2</c:v>
                </c:pt>
                <c:pt idx="38">
                  <c:v>5.9101752353936193E-2</c:v>
                </c:pt>
                <c:pt idx="39">
                  <c:v>5.9879529066052276E-2</c:v>
                </c:pt>
                <c:pt idx="40">
                  <c:v>6.0612789447414897E-2</c:v>
                </c:pt>
                <c:pt idx="41">
                  <c:v>6.142161574311452E-2</c:v>
                </c:pt>
                <c:pt idx="42">
                  <c:v>6.2258699406149677E-2</c:v>
                </c:pt>
                <c:pt idx="43">
                  <c:v>6.3154468495182386E-2</c:v>
                </c:pt>
                <c:pt idx="44">
                  <c:v>6.4001086708185814E-2</c:v>
                </c:pt>
                <c:pt idx="45">
                  <c:v>6.5004017364691344E-2</c:v>
                </c:pt>
                <c:pt idx="46">
                  <c:v>6.627249021128534E-2</c:v>
                </c:pt>
                <c:pt idx="47">
                  <c:v>6.7647810198250155E-2</c:v>
                </c:pt>
                <c:pt idx="48">
                  <c:v>6.9609029257297839E-2</c:v>
                </c:pt>
                <c:pt idx="49">
                  <c:v>7.2500944244146853E-2</c:v>
                </c:pt>
              </c:numCache>
            </c:numRef>
          </c:xVal>
          <c:yVal>
            <c:numRef>
              <c:f>Results!$B$38:$B$87</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A7B1-47A7-8EE9-9D844AC85955}"/>
            </c:ext>
          </c:extLst>
        </c:ser>
        <c:ser>
          <c:idx val="1"/>
          <c:order val="1"/>
          <c:tx>
            <c:v>Mortgage rate</c:v>
          </c:tx>
          <c:spPr>
            <a:ln w="25400">
              <a:solidFill>
                <a:srgbClr val="B45309"/>
              </a:solidFill>
              <a:prstDash val="dash"/>
            </a:ln>
          </c:spPr>
          <c:marker>
            <c:symbol val="none"/>
          </c:marker>
          <c:xVal>
            <c:numRef>
              <c:f>Results!$E$38:$E$87</c:f>
              <c:numCache>
                <c:formatCode>#,##0.00</c:formatCode>
                <c:ptCount val="50"/>
                <c:pt idx="0">
                  <c:v>7.5682806143379688E-2</c:v>
                </c:pt>
                <c:pt idx="1">
                  <c:v>7.9930506974317569E-2</c:v>
                </c:pt>
                <c:pt idx="2">
                  <c:v>8.2754617994515611E-2</c:v>
                </c:pt>
                <c:pt idx="3">
                  <c:v>8.4746414650431645E-2</c:v>
                </c:pt>
                <c:pt idx="4">
                  <c:v>8.6083922574512264E-2</c:v>
                </c:pt>
                <c:pt idx="5">
                  <c:v>8.7367605305970555E-2</c:v>
                </c:pt>
                <c:pt idx="6">
                  <c:v>8.8550112469534953E-2</c:v>
                </c:pt>
                <c:pt idx="7">
                  <c:v>8.9723346289569739E-2</c:v>
                </c:pt>
                <c:pt idx="8">
                  <c:v>9.0769315681828999E-2</c:v>
                </c:pt>
                <c:pt idx="9">
                  <c:v>9.1785901358506936E-2</c:v>
                </c:pt>
                <c:pt idx="10">
                  <c:v>9.2643079752313937E-2</c:v>
                </c:pt>
                <c:pt idx="11">
                  <c:v>9.3628633351157814E-2</c:v>
                </c:pt>
                <c:pt idx="12">
                  <c:v>9.4415007255865963E-2</c:v>
                </c:pt>
                <c:pt idx="13">
                  <c:v>9.5275532169989866E-2</c:v>
                </c:pt>
                <c:pt idx="14">
                  <c:v>9.6062063144422616E-2</c:v>
                </c:pt>
                <c:pt idx="15">
                  <c:v>9.6908822646715076E-2</c:v>
                </c:pt>
                <c:pt idx="16">
                  <c:v>9.7726864361518659E-2</c:v>
                </c:pt>
                <c:pt idx="17">
                  <c:v>9.8480718376997955E-2</c:v>
                </c:pt>
                <c:pt idx="18">
                  <c:v>9.9204414931342841E-2</c:v>
                </c:pt>
                <c:pt idx="19">
                  <c:v>9.9977337935422114E-2</c:v>
                </c:pt>
                <c:pt idx="20">
                  <c:v>0.10069140545215378</c:v>
                </c:pt>
                <c:pt idx="21">
                  <c:v>0.10145207334740208</c:v>
                </c:pt>
                <c:pt idx="22">
                  <c:v>0.10211150433360619</c:v>
                </c:pt>
                <c:pt idx="23">
                  <c:v>0.1028216914966482</c:v>
                </c:pt>
                <c:pt idx="24">
                  <c:v>0.10353360679081912</c:v>
                </c:pt>
                <c:pt idx="25">
                  <c:v>0.10427279612202019</c:v>
                </c:pt>
                <c:pt idx="26">
                  <c:v>0.10499619385511332</c:v>
                </c:pt>
                <c:pt idx="27">
                  <c:v>0.10575594170260931</c:v>
                </c:pt>
                <c:pt idx="28">
                  <c:v>0.10642633558606143</c:v>
                </c:pt>
                <c:pt idx="29">
                  <c:v>0.10714912388673262</c:v>
                </c:pt>
                <c:pt idx="30">
                  <c:v>0.1079188773735963</c:v>
                </c:pt>
                <c:pt idx="31">
                  <c:v>0.10878830836084016</c:v>
                </c:pt>
                <c:pt idx="32">
                  <c:v>0.10953925647645871</c:v>
                </c:pt>
                <c:pt idx="33">
                  <c:v>0.11033528801553577</c:v>
                </c:pt>
                <c:pt idx="34">
                  <c:v>0.1111206952842665</c:v>
                </c:pt>
                <c:pt idx="35">
                  <c:v>0.11197218600494672</c:v>
                </c:pt>
                <c:pt idx="36">
                  <c:v>0.11281980248183759</c:v>
                </c:pt>
                <c:pt idx="37">
                  <c:v>0.11365758624649006</c:v>
                </c:pt>
                <c:pt idx="38">
                  <c:v>0.11465215242599494</c:v>
                </c:pt>
                <c:pt idx="39">
                  <c:v>0.11571160461376362</c:v>
                </c:pt>
                <c:pt idx="40">
                  <c:v>0.11679211102626672</c:v>
                </c:pt>
                <c:pt idx="41">
                  <c:v>0.11789683435887401</c:v>
                </c:pt>
                <c:pt idx="42">
                  <c:v>0.11915105262109055</c:v>
                </c:pt>
                <c:pt idx="43">
                  <c:v>0.12045709391445859</c:v>
                </c:pt>
                <c:pt idx="44">
                  <c:v>0.12192732922159134</c:v>
                </c:pt>
                <c:pt idx="45">
                  <c:v>0.12385107550832074</c:v>
                </c:pt>
                <c:pt idx="46">
                  <c:v>0.12577459550322331</c:v>
                </c:pt>
                <c:pt idx="47">
                  <c:v>0.12830902673182112</c:v>
                </c:pt>
                <c:pt idx="48">
                  <c:v>0.13119548428777283</c:v>
                </c:pt>
                <c:pt idx="49">
                  <c:v>0.1367001268974371</c:v>
                </c:pt>
              </c:numCache>
            </c:numRef>
          </c:xVal>
          <c:yVal>
            <c:numRef>
              <c:f>Results!$B$38:$B$87</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A7B1-47A7-8EE9-9D844AC85955}"/>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Rate</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41</xdr:row>
      <xdr:rowOff>0</xdr:rowOff>
    </xdr:from>
    <xdr:ext cx="8640000" cy="378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1"/>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26.25" x14ac:dyDescent="0.45">
      <c r="B12" s="9" t="s">
        <v>15</v>
      </c>
      <c r="C12" s="10" t="s">
        <v>16</v>
      </c>
    </row>
    <row r="13" spans="1:4" ht="26.25" x14ac:dyDescent="0.45">
      <c r="B13" s="9" t="s">
        <v>17</v>
      </c>
      <c r="C13" s="10" t="s">
        <v>18</v>
      </c>
    </row>
    <row r="14" spans="1:4" ht="12" customHeight="1" x14ac:dyDescent="0.45"/>
    <row r="15" spans="1:4" ht="22.05" customHeight="1" x14ac:dyDescent="0.5">
      <c r="B15" s="7" t="s">
        <v>19</v>
      </c>
      <c r="C15" s="8"/>
    </row>
    <row r="16" spans="1:4" ht="57" customHeight="1" x14ac:dyDescent="0.45">
      <c r="B16" s="59" t="s">
        <v>20</v>
      </c>
      <c r="C16" s="58"/>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41</v>
      </c>
      <c r="C51" s="10" t="s">
        <v>57</v>
      </c>
    </row>
    <row r="52" spans="2:3" x14ac:dyDescent="0.45">
      <c r="B52" s="9" t="s">
        <v>58</v>
      </c>
      <c r="C52" s="10" t="s">
        <v>59</v>
      </c>
    </row>
    <row r="53" spans="2:3" x14ac:dyDescent="0.45">
      <c r="B53" s="9" t="s">
        <v>60</v>
      </c>
      <c r="C53" s="10" t="s">
        <v>61</v>
      </c>
    </row>
    <row r="54" spans="2:3" ht="12" customHeight="1" x14ac:dyDescent="0.45"/>
    <row r="55" spans="2:3" ht="22.05" customHeight="1" x14ac:dyDescent="0.5">
      <c r="B55" s="7" t="s">
        <v>62</v>
      </c>
      <c r="C55" s="8"/>
    </row>
    <row r="56" spans="2:3" ht="26.25" x14ac:dyDescent="0.45">
      <c r="B56" s="9" t="s">
        <v>63</v>
      </c>
      <c r="C56" s="10" t="s">
        <v>64</v>
      </c>
    </row>
    <row r="57" spans="2:3" x14ac:dyDescent="0.45">
      <c r="B57" s="9" t="s">
        <v>65</v>
      </c>
      <c r="C57" s="10" t="s">
        <v>66</v>
      </c>
    </row>
    <row r="58" spans="2:3" x14ac:dyDescent="0.45">
      <c r="B58" s="9" t="s">
        <v>67</v>
      </c>
      <c r="C58" s="10" t="s">
        <v>68</v>
      </c>
    </row>
    <row r="59" spans="2:3" ht="12" customHeight="1" x14ac:dyDescent="0.45"/>
    <row r="60" spans="2:3" ht="22.05" customHeight="1" x14ac:dyDescent="0.5">
      <c r="B60" s="7" t="s">
        <v>69</v>
      </c>
      <c r="C60" s="8"/>
    </row>
    <row r="61" spans="2:3" x14ac:dyDescent="0.45">
      <c r="B61" s="20" t="s">
        <v>70</v>
      </c>
      <c r="C61" s="10" t="s">
        <v>71</v>
      </c>
    </row>
    <row r="62" spans="2:3" x14ac:dyDescent="0.45">
      <c r="B62" s="20" t="s">
        <v>72</v>
      </c>
      <c r="C62" s="10" t="s">
        <v>73</v>
      </c>
    </row>
    <row r="63" spans="2:3" x14ac:dyDescent="0.45">
      <c r="B63" s="20" t="s">
        <v>74</v>
      </c>
      <c r="C63" s="10" t="s">
        <v>75</v>
      </c>
    </row>
    <row r="64" spans="2:3" x14ac:dyDescent="0.45">
      <c r="B64" s="20" t="s">
        <v>76</v>
      </c>
      <c r="C64" s="10" t="s">
        <v>77</v>
      </c>
    </row>
    <row r="65" spans="2:3" x14ac:dyDescent="0.45">
      <c r="B65" s="20" t="s">
        <v>78</v>
      </c>
      <c r="C65" s="10" t="s">
        <v>79</v>
      </c>
    </row>
    <row r="66" spans="2:3" ht="26.25" x14ac:dyDescent="0.45">
      <c r="B66" s="20" t="s">
        <v>80</v>
      </c>
      <c r="C66" s="10" t="s">
        <v>81</v>
      </c>
    </row>
    <row r="67" spans="2:3" ht="12" customHeight="1" x14ac:dyDescent="0.45"/>
    <row r="68" spans="2:3" ht="22.05" customHeight="1" x14ac:dyDescent="0.5">
      <c r="B68" s="7" t="s">
        <v>82</v>
      </c>
      <c r="C68" s="8"/>
    </row>
    <row r="69" spans="2:3" x14ac:dyDescent="0.45">
      <c r="B69" s="9" t="s">
        <v>83</v>
      </c>
      <c r="C69" s="10" t="s">
        <v>84</v>
      </c>
    </row>
    <row r="70" spans="2:3" ht="16.05" customHeight="1" x14ac:dyDescent="0.45"/>
    <row r="71" spans="2:3" x14ac:dyDescent="0.45">
      <c r="B71" s="57" t="s">
        <v>85</v>
      </c>
      <c r="C71" s="58"/>
    </row>
  </sheetData>
  <mergeCells count="2">
    <mergeCell ref="B71:C71"/>
    <mergeCell ref="B16:C16"/>
  </mergeCells>
  <hyperlinks>
    <hyperlink ref="D4" location="'Inputs'!A1" display="Next:  Inputs  ▸" xr:uid="{00000000-0004-0000-0000-000000000000}"/>
    <hyperlink ref="B39" location="'Inputs'!A1" display="Inputs" xr:uid="{00000000-0004-0000-0000-000001000000}"/>
    <hyperlink ref="B40" location="'Rates'!A1" display="Rates"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18"/>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86</v>
      </c>
      <c r="C3" s="1"/>
      <c r="D3" s="1"/>
      <c r="E3" s="1"/>
      <c r="F3" s="1"/>
      <c r="G3" s="1"/>
      <c r="H3" s="1"/>
      <c r="I3" s="1"/>
      <c r="J3" s="1"/>
    </row>
    <row r="4" spans="1:10" ht="20" customHeight="1" x14ac:dyDescent="0.45">
      <c r="A4" s="5"/>
      <c r="B4" s="22" t="s">
        <v>87</v>
      </c>
      <c r="C4" s="5"/>
      <c r="D4" s="5"/>
      <c r="E4" s="5"/>
      <c r="F4" s="5"/>
      <c r="G4" s="5"/>
      <c r="H4" s="5"/>
      <c r="I4" s="5"/>
      <c r="J4" s="6" t="s">
        <v>88</v>
      </c>
    </row>
    <row r="5" spans="1:10" ht="8" customHeight="1" x14ac:dyDescent="0.45"/>
    <row r="6" spans="1:10" ht="30" customHeight="1" x14ac:dyDescent="0.45">
      <c r="B6" s="60" t="s">
        <v>89</v>
      </c>
      <c r="C6" s="58"/>
      <c r="D6" s="58"/>
      <c r="E6" s="58"/>
      <c r="F6" s="58"/>
      <c r="G6" s="58"/>
      <c r="H6" s="58"/>
      <c r="I6" s="58"/>
      <c r="J6" s="58"/>
    </row>
    <row r="7" spans="1:10" ht="6" customHeight="1" x14ac:dyDescent="0.45"/>
    <row r="8" spans="1:10" ht="22.05" customHeight="1" x14ac:dyDescent="0.5">
      <c r="B8" s="7" t="s">
        <v>90</v>
      </c>
      <c r="C8" s="8"/>
      <c r="D8" s="8"/>
      <c r="E8" s="8"/>
      <c r="F8" s="8"/>
      <c r="G8" s="8"/>
      <c r="H8" s="8"/>
      <c r="I8" s="8"/>
      <c r="J8" s="8"/>
    </row>
    <row r="9" spans="1:10" ht="18" customHeight="1" x14ac:dyDescent="0.45">
      <c r="B9" s="13" t="s">
        <v>91</v>
      </c>
    </row>
    <row r="10" spans="1:10" ht="18" customHeight="1" x14ac:dyDescent="0.45">
      <c r="B10" s="23" t="s">
        <v>92</v>
      </c>
      <c r="C10" s="23" t="s">
        <v>93</v>
      </c>
      <c r="D10" s="24" t="s">
        <v>94</v>
      </c>
      <c r="E10" s="23" t="s">
        <v>95</v>
      </c>
      <c r="F10" s="24" t="s">
        <v>96</v>
      </c>
      <c r="G10" s="24" t="s">
        <v>97</v>
      </c>
      <c r="H10" s="24" t="s">
        <v>98</v>
      </c>
      <c r="I10" s="24" t="s">
        <v>99</v>
      </c>
      <c r="J10" s="23" t="s">
        <v>100</v>
      </c>
    </row>
    <row r="11" spans="1:10" x14ac:dyDescent="0.45">
      <c r="B11" s="25" t="s">
        <v>101</v>
      </c>
      <c r="C11" s="26" t="s">
        <v>102</v>
      </c>
      <c r="D11" s="27" cm="1">
        <f t="array" aca="1" ref="D11" ca="1">_xll.VoseInput("Base interest rate","rate")+_xll.VosePERT(F11,G11,H11)</f>
        <v>6.5371701163480983E-2</v>
      </c>
      <c r="E11" s="26" t="s">
        <v>65</v>
      </c>
      <c r="F11" s="28">
        <v>0.03</v>
      </c>
      <c r="G11" s="28">
        <v>0.05</v>
      </c>
      <c r="H11" s="28">
        <v>0.08</v>
      </c>
      <c r="I11" s="29" cm="1">
        <f t="array" ref="I11">IF(AND(F11&lt;=G11,G11&lt;=H11,F11&lt;H11,F11&gt;=0,H11&lt;=1),_xll.VoseMean(_xll.VosePERTObject(F11,G11,H11)),"✗ range")</f>
        <v>5.1666666666666666E-2</v>
      </c>
      <c r="J11" s="30" t="s">
        <v>103</v>
      </c>
    </row>
    <row r="12" spans="1:10" ht="8" customHeight="1" x14ac:dyDescent="0.45"/>
    <row r="13" spans="1:10" ht="22.05" customHeight="1" x14ac:dyDescent="0.5">
      <c r="B13" s="7" t="s">
        <v>104</v>
      </c>
      <c r="C13" s="8"/>
      <c r="D13" s="8"/>
      <c r="E13" s="8"/>
      <c r="F13" s="8"/>
      <c r="G13" s="8"/>
      <c r="H13" s="8"/>
      <c r="I13" s="8"/>
      <c r="J13" s="8"/>
    </row>
    <row r="14" spans="1:10" ht="18" customHeight="1" x14ac:dyDescent="0.45">
      <c r="B14" s="13" t="s">
        <v>105</v>
      </c>
    </row>
    <row r="15" spans="1:10" ht="18" customHeight="1" x14ac:dyDescent="0.45">
      <c r="B15" s="23" t="s">
        <v>92</v>
      </c>
      <c r="C15" s="23" t="s">
        <v>93</v>
      </c>
      <c r="D15" s="24" t="s">
        <v>94</v>
      </c>
      <c r="E15" s="23" t="s">
        <v>95</v>
      </c>
      <c r="F15" s="5"/>
      <c r="G15" s="5"/>
      <c r="H15" s="5"/>
      <c r="I15" s="5"/>
      <c r="J15" s="23" t="s">
        <v>100</v>
      </c>
    </row>
    <row r="16" spans="1:10" x14ac:dyDescent="0.45">
      <c r="B16" s="25" t="s">
        <v>106</v>
      </c>
      <c r="C16" s="26" t="s">
        <v>102</v>
      </c>
      <c r="D16" s="28">
        <v>0.04</v>
      </c>
      <c r="E16" s="26" t="s">
        <v>107</v>
      </c>
      <c r="F16" s="31"/>
      <c r="G16" s="31"/>
      <c r="H16" s="31"/>
      <c r="I16" s="31"/>
      <c r="J16" s="30"/>
    </row>
    <row r="17" spans="2:10" x14ac:dyDescent="0.45">
      <c r="B17" s="25" t="s">
        <v>108</v>
      </c>
      <c r="C17" s="26" t="s">
        <v>102</v>
      </c>
      <c r="D17" s="28">
        <v>0.06</v>
      </c>
      <c r="E17" s="26" t="s">
        <v>107</v>
      </c>
      <c r="F17" s="31"/>
      <c r="G17" s="31"/>
      <c r="H17" s="31"/>
      <c r="I17" s="31"/>
      <c r="J17" s="30"/>
    </row>
    <row r="18" spans="2:10" ht="8" customHeight="1" x14ac:dyDescent="0.45"/>
  </sheetData>
  <mergeCells count="1">
    <mergeCell ref="B6:J6"/>
  </mergeCells>
  <conditionalFormatting sqref="I11">
    <cfRule type="expression" dxfId="4" priority="1">
      <formula>LEFT($I11,1)="✗"</formula>
    </cfRule>
  </conditionalFormatting>
  <dataValidations count="2">
    <dataValidation type="custom" showErrorMessage="1" errorTitle="PERT range" error="Low must be below High, with Most likely between them, all between 0% and 100%." sqref="F11:H11" xr:uid="{00000000-0002-0000-0100-000000000000}">
      <formula1>AND($F11&lt;=$G11,$G11&lt;=$H11,$F11&lt;$H11,$F11&gt;=0,$H11&lt;=1)</formula1>
    </dataValidation>
    <dataValidation type="decimal" showErrorMessage="1" errorTitle="Probability" error="Enter a value between 0% and 100%." sqref="D16:D17" xr:uid="{00000000-0002-0000-0100-000001000000}">
      <formula1>0</formula1>
      <formula2>1</formula2>
    </dataValidation>
  </dataValidations>
  <hyperlinks>
    <hyperlink ref="B4" location="'About'!A1" display="◂  About" xr:uid="{00000000-0004-0000-0100-000000000000}"/>
    <hyperlink ref="J4" location="'Rates'!A1" display="Next:  Rate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H1086"/>
  <sheetViews>
    <sheetView showGridLines="0" workbookViewId="0">
      <pane xSplit="2" ySplit="5" topLeftCell="C6" activePane="bottomRight" state="frozen"/>
      <selection pane="topRight"/>
      <selection pane="bottomLeft"/>
      <selection pane="bottomRight"/>
    </sheetView>
  </sheetViews>
  <sheetFormatPr defaultRowHeight="14.25" outlineLevelRow="1" x14ac:dyDescent="0.45"/>
  <cols>
    <col min="1" max="1" width="2" customWidth="1"/>
    <col min="2" max="2" width="46" customWidth="1"/>
    <col min="3" max="6" width="14" customWidth="1"/>
    <col min="7" max="7" width="2" customWidth="1"/>
    <col min="8" max="8" width="62" customWidth="1"/>
  </cols>
  <sheetData>
    <row r="1" spans="1:8" ht="6" customHeight="1" x14ac:dyDescent="0.45"/>
    <row r="2" spans="1:8" ht="30" customHeight="1" x14ac:dyDescent="0.45">
      <c r="A2" s="1"/>
      <c r="B2" s="21" t="s">
        <v>0</v>
      </c>
      <c r="C2" s="1"/>
      <c r="D2" s="1"/>
      <c r="E2" s="1"/>
      <c r="F2" s="1"/>
      <c r="G2" s="1"/>
      <c r="H2" s="3" t="s">
        <v>1</v>
      </c>
    </row>
    <row r="3" spans="1:8" ht="20" customHeight="1" x14ac:dyDescent="0.45">
      <c r="A3" s="1"/>
      <c r="B3" s="4" t="s">
        <v>109</v>
      </c>
      <c r="C3" s="1"/>
      <c r="D3" s="1"/>
      <c r="E3" s="1"/>
      <c r="F3" s="1"/>
      <c r="G3" s="1"/>
      <c r="H3" s="1"/>
    </row>
    <row r="4" spans="1:8" ht="20" customHeight="1" x14ac:dyDescent="0.45">
      <c r="A4" s="5"/>
      <c r="B4" s="22" t="s">
        <v>110</v>
      </c>
      <c r="C4" s="5"/>
      <c r="D4" s="5"/>
      <c r="E4" s="5"/>
      <c r="F4" s="5"/>
      <c r="G4" s="5"/>
      <c r="H4" s="6" t="s">
        <v>111</v>
      </c>
    </row>
    <row r="5" spans="1:8" ht="8" customHeight="1" x14ac:dyDescent="0.45"/>
    <row r="6" spans="1:8" ht="22.05" customHeight="1" x14ac:dyDescent="0.5">
      <c r="B6" s="7" t="s">
        <v>112</v>
      </c>
      <c r="C6" s="8"/>
      <c r="D6" s="8"/>
      <c r="E6" s="8"/>
      <c r="F6" s="8"/>
      <c r="G6" s="8"/>
      <c r="H6" s="8"/>
    </row>
    <row r="7" spans="1:8" ht="18" customHeight="1" x14ac:dyDescent="0.45">
      <c r="B7" s="13" t="s">
        <v>113</v>
      </c>
    </row>
    <row r="8" spans="1:8" ht="18" customHeight="1" x14ac:dyDescent="0.45">
      <c r="B8" s="32" t="s">
        <v>114</v>
      </c>
      <c r="C8" s="33"/>
      <c r="D8" s="32" t="s">
        <v>115</v>
      </c>
      <c r="E8" s="33"/>
      <c r="F8" s="33"/>
      <c r="G8" s="5"/>
      <c r="H8" s="5"/>
    </row>
    <row r="9" spans="1:8" x14ac:dyDescent="0.45">
      <c r="B9" s="34"/>
      <c r="C9" s="34"/>
      <c r="D9" s="34" t="s">
        <v>116</v>
      </c>
      <c r="E9" s="34" t="s">
        <v>117</v>
      </c>
      <c r="F9" s="34" t="s">
        <v>118</v>
      </c>
    </row>
    <row r="10" spans="1:8" x14ac:dyDescent="0.45">
      <c r="B10" s="35">
        <v>0.03</v>
      </c>
      <c r="C10" s="31"/>
      <c r="D10" s="28">
        <v>0.06</v>
      </c>
      <c r="E10" s="28">
        <v>0.08</v>
      </c>
      <c r="F10" s="28">
        <v>0.1</v>
      </c>
      <c r="G10" s="31"/>
      <c r="H10" s="26" t="s">
        <v>119</v>
      </c>
    </row>
    <row r="11" spans="1:8" x14ac:dyDescent="0.45">
      <c r="B11" s="35">
        <v>0.05</v>
      </c>
      <c r="C11" s="31"/>
      <c r="D11" s="28">
        <v>7.6999999999999999E-2</v>
      </c>
      <c r="E11" s="28">
        <v>0.10299999999999999</v>
      </c>
      <c r="F11" s="28">
        <v>0.128</v>
      </c>
      <c r="G11" s="31"/>
      <c r="H11" s="31"/>
    </row>
    <row r="12" spans="1:8" x14ac:dyDescent="0.45">
      <c r="B12" s="35">
        <v>0.08</v>
      </c>
      <c r="C12" s="31"/>
      <c r="D12" s="28">
        <v>0.1</v>
      </c>
      <c r="E12" s="28">
        <v>0.13300000000000001</v>
      </c>
      <c r="F12" s="28">
        <v>0.159</v>
      </c>
      <c r="G12" s="31"/>
      <c r="H12" s="31"/>
    </row>
    <row r="13" spans="1:8" ht="8" customHeight="1" x14ac:dyDescent="0.45"/>
    <row r="14" spans="1:8" ht="22.05" customHeight="1" x14ac:dyDescent="0.5">
      <c r="B14" s="7" t="s">
        <v>120</v>
      </c>
      <c r="C14" s="8"/>
      <c r="D14" s="8"/>
      <c r="E14" s="8"/>
      <c r="F14" s="8"/>
      <c r="G14" s="8"/>
      <c r="H14" s="8"/>
    </row>
    <row r="15" spans="1:8" ht="18" customHeight="1" x14ac:dyDescent="0.45">
      <c r="B15" s="13" t="s">
        <v>121</v>
      </c>
    </row>
    <row r="16" spans="1:8" x14ac:dyDescent="0.45">
      <c r="B16" s="25" t="s">
        <v>101</v>
      </c>
      <c r="C16" s="26" t="s">
        <v>102</v>
      </c>
      <c r="D16" s="36">
        <f ca="1">Interest</f>
        <v>6.5371701163480983E-2</v>
      </c>
      <c r="E16" s="31"/>
      <c r="F16" s="31"/>
      <c r="G16" s="31"/>
      <c r="H16" s="26" t="s">
        <v>122</v>
      </c>
    </row>
    <row r="17" spans="2:8" x14ac:dyDescent="0.45">
      <c r="B17" s="25" t="s">
        <v>123</v>
      </c>
      <c r="C17" s="26" t="s">
        <v>102</v>
      </c>
      <c r="D17" s="36">
        <f ca="1">$D$10*(Rate-$B$11)*(Rate-$B$12)/(($B$10-$B$11)*($B$10-$B$12))+$D$11*(Rate-$B$10)*(Rate-$B$12)/(($B$11-$B$10)*($B$11-$B$12))+$D$12*(Rate-$B$10)*(Rate-$B$11)/(($B$12-$B$10)*($B$12-$B$11))</f>
        <v>8.9159740622410527E-2</v>
      </c>
      <c r="E17" s="31"/>
      <c r="F17" s="31"/>
      <c r="G17" s="31"/>
      <c r="H17" s="26" t="s">
        <v>124</v>
      </c>
    </row>
    <row r="18" spans="2:8" x14ac:dyDescent="0.45">
      <c r="B18" s="25" t="s">
        <v>125</v>
      </c>
      <c r="C18" s="26" t="s">
        <v>102</v>
      </c>
      <c r="D18" s="36">
        <f ca="1">$E$10*(Rate-$B$11)*(Rate-$B$12)/(($B$10-$B$11)*($B$10-$B$12))+$E$11*(Rate-$B$10)*(Rate-$B$12)/(($B$11-$B$10)*($B$11-$B$12))+$E$12*(Rate-$B$10)*(Rate-$B$11)/(($B$12-$B$10)*($B$12-$B$11))</f>
        <v>0.11904628667821616</v>
      </c>
      <c r="E18" s="31"/>
      <c r="F18" s="31"/>
      <c r="G18" s="31"/>
      <c r="H18" s="31"/>
    </row>
    <row r="19" spans="2:8" x14ac:dyDescent="0.45">
      <c r="B19" s="25" t="s">
        <v>126</v>
      </c>
      <c r="C19" s="26" t="s">
        <v>102</v>
      </c>
      <c r="D19" s="36">
        <f ca="1">$F$10*(Rate-$B$11)*(Rate-$B$12)/(($B$10-$B$11)*($B$10-$B$12))+$F$11*(Rate-$B$10)*(Rate-$B$12)/(($B$11-$B$10)*($B$11-$B$12))+$F$12*(Rate-$B$10)*(Rate-$B$11)/(($B$12-$B$10)*($B$12-$B$11))</f>
        <v>0.14553307801606086</v>
      </c>
      <c r="E19" s="31"/>
      <c r="F19" s="31"/>
      <c r="G19" s="31"/>
      <c r="H19" s="31"/>
    </row>
    <row r="20" spans="2:8" x14ac:dyDescent="0.45">
      <c r="B20" s="25" t="s">
        <v>127</v>
      </c>
      <c r="C20" s="26" t="s">
        <v>102</v>
      </c>
      <c r="D20" s="37" cm="1">
        <f t="array" aca="1" ref="D20" ca="1">_xll.VoseInput("Mortgage rate","rate")+_xll.VosePERT(MortMin,MortML,MortMax)</f>
        <v>0.10000725518194606</v>
      </c>
      <c r="E20" s="31"/>
      <c r="F20" s="31"/>
      <c r="G20" s="31"/>
      <c r="H20" s="26" t="s">
        <v>128</v>
      </c>
    </row>
    <row r="21" spans="2:8" ht="8" customHeight="1" x14ac:dyDescent="0.45"/>
    <row r="22" spans="2:8" ht="22.05" customHeight="1" x14ac:dyDescent="0.5">
      <c r="B22" s="7" t="s">
        <v>129</v>
      </c>
      <c r="C22" s="8"/>
      <c r="D22" s="8"/>
      <c r="E22" s="8"/>
      <c r="F22" s="8"/>
      <c r="G22" s="8"/>
      <c r="H22" s="8"/>
    </row>
    <row r="23" spans="2:8" ht="18" customHeight="1" x14ac:dyDescent="0.45">
      <c r="B23" s="13" t="s">
        <v>130</v>
      </c>
    </row>
    <row r="24" spans="2:8" ht="18" customHeight="1" x14ac:dyDescent="0.45">
      <c r="B24" s="38" t="s">
        <v>131</v>
      </c>
      <c r="C24" s="38" t="s">
        <v>93</v>
      </c>
      <c r="D24" s="39" t="s">
        <v>132</v>
      </c>
      <c r="E24" s="5"/>
      <c r="F24" s="5"/>
      <c r="G24" s="5"/>
      <c r="H24" s="38" t="s">
        <v>133</v>
      </c>
    </row>
    <row r="25" spans="2:8" x14ac:dyDescent="0.45">
      <c r="B25" s="25" t="s">
        <v>134</v>
      </c>
      <c r="C25" s="26" t="s">
        <v>102</v>
      </c>
      <c r="D25" s="40" cm="1">
        <f t="array" aca="1" ref="D25" ca="1">_xll.VoseOutput("Interest rate","rate")+Rate</f>
        <v>6.5371701163480983E-2</v>
      </c>
      <c r="E25" s="31"/>
      <c r="F25" s="31"/>
      <c r="G25" s="31"/>
      <c r="H25" s="26"/>
    </row>
    <row r="26" spans="2:8" x14ac:dyDescent="0.45">
      <c r="B26" s="25" t="s">
        <v>127</v>
      </c>
      <c r="C26" s="26" t="s">
        <v>102</v>
      </c>
      <c r="D26" s="40" cm="1">
        <f t="array" aca="1" ref="D26" ca="1">_xll.VoseOutput("Mortgage rate","rate")+Mortgage</f>
        <v>0.10000725518194606</v>
      </c>
      <c r="E26" s="31"/>
      <c r="F26" s="31"/>
      <c r="G26" s="31"/>
      <c r="H26" s="26"/>
    </row>
    <row r="27" spans="2:8" x14ac:dyDescent="0.45">
      <c r="B27" s="25" t="s">
        <v>135</v>
      </c>
      <c r="C27" s="26" t="s">
        <v>102</v>
      </c>
      <c r="D27" s="40" cm="1">
        <f t="array" aca="1" ref="D27" ca="1">_xll.VoseOutput("Spread","rate")+MortgageOut-InterestOut</f>
        <v>3.4635554018465076E-2</v>
      </c>
      <c r="E27" s="31"/>
      <c r="F27" s="31"/>
      <c r="G27" s="31"/>
      <c r="H27" s="26"/>
    </row>
    <row r="28" spans="2:8" x14ac:dyDescent="0.45">
      <c r="B28" s="25" t="s">
        <v>136</v>
      </c>
      <c r="C28" s="26" t="s">
        <v>137</v>
      </c>
      <c r="D28" s="41">
        <f ca="1">IF(InterestOut&lt;LowCut,1,0)</f>
        <v>0</v>
      </c>
      <c r="E28" s="31"/>
      <c r="F28" s="31"/>
      <c r="G28" s="31"/>
      <c r="H28" s="26"/>
    </row>
    <row r="29" spans="2:8" x14ac:dyDescent="0.45">
      <c r="B29" s="25" t="s">
        <v>138</v>
      </c>
      <c r="C29" s="26" t="s">
        <v>102</v>
      </c>
      <c r="D29" s="36">
        <f ca="1">MortgageOut*LowFlag</f>
        <v>0</v>
      </c>
      <c r="E29" s="31"/>
      <c r="F29" s="31"/>
      <c r="G29" s="31"/>
      <c r="H29" s="26"/>
    </row>
    <row r="30" spans="2:8" x14ac:dyDescent="0.45">
      <c r="B30" s="25" t="s">
        <v>139</v>
      </c>
      <c r="C30" s="26" t="s">
        <v>137</v>
      </c>
      <c r="D30" s="41">
        <f ca="1">IF(InterestOut&gt;HighCut,1,0)</f>
        <v>1</v>
      </c>
      <c r="E30" s="31"/>
      <c r="F30" s="31"/>
      <c r="G30" s="31"/>
      <c r="H30" s="26"/>
    </row>
    <row r="31" spans="2:8" x14ac:dyDescent="0.45">
      <c r="B31" s="25" t="s">
        <v>140</v>
      </c>
      <c r="C31" s="26" t="s">
        <v>102</v>
      </c>
      <c r="D31" s="36">
        <f ca="1">MortgageOut*HighFlag</f>
        <v>0.10000725518194606</v>
      </c>
      <c r="E31" s="31"/>
      <c r="F31" s="31"/>
      <c r="G31" s="31"/>
      <c r="H31" s="26"/>
    </row>
    <row r="32" spans="2:8" ht="8" customHeight="1" x14ac:dyDescent="0.45"/>
    <row r="33" spans="2:8" ht="22.05" customHeight="1" x14ac:dyDescent="0.5">
      <c r="B33" s="7" t="s">
        <v>141</v>
      </c>
      <c r="C33" s="8"/>
      <c r="D33" s="8"/>
      <c r="E33" s="8"/>
      <c r="F33" s="8"/>
      <c r="G33" s="8"/>
      <c r="H33" s="8"/>
    </row>
    <row r="34" spans="2:8" ht="18" customHeight="1" x14ac:dyDescent="0.45">
      <c r="B34" s="13" t="s">
        <v>142</v>
      </c>
    </row>
    <row r="35" spans="2:8" x14ac:dyDescent="0.45">
      <c r="B35" s="25" t="s">
        <v>143</v>
      </c>
      <c r="C35" s="31"/>
      <c r="D35" s="42" t="str">
        <f>IF(AND(B10&lt;B11,B11&lt;B12),"OK","CHECK")</f>
        <v>OK</v>
      </c>
      <c r="E35" s="31"/>
      <c r="F35" s="31"/>
      <c r="G35" s="31"/>
      <c r="H35" s="31"/>
    </row>
    <row r="36" spans="2:8" x14ac:dyDescent="0.45">
      <c r="B36" s="25" t="s">
        <v>144</v>
      </c>
      <c r="C36" s="31"/>
      <c r="D36" s="42" t="str">
        <f>IF(SUMPRODUCT(--(D10:D12&gt;E10:E12))+SUMPRODUCT(--(E10:E12&gt;F10:F12))=0,"OK","CHECK")</f>
        <v>OK</v>
      </c>
      <c r="E36" s="31"/>
      <c r="F36" s="31"/>
      <c r="G36" s="31"/>
      <c r="H36" s="31"/>
    </row>
    <row r="37" spans="2:8" x14ac:dyDescent="0.45">
      <c r="B37" s="25" t="s">
        <v>145</v>
      </c>
      <c r="C37" s="31"/>
      <c r="D37" s="42" t="str">
        <f>IF(AND(Interest_Lo&gt;=MIN(EnvRate),Interest_Hi&lt;=MAX(EnvRate)),"OK","CHECK")</f>
        <v>OK</v>
      </c>
      <c r="E37" s="31"/>
      <c r="F37" s="31"/>
      <c r="G37" s="31"/>
      <c r="H37" s="31"/>
    </row>
    <row r="38" spans="2:8" x14ac:dyDescent="0.45">
      <c r="B38" s="25" t="s">
        <v>146</v>
      </c>
      <c r="C38" s="31"/>
      <c r="D38" s="42" t="str">
        <f ca="1">IF(AND(MortMin&lt;=MortML,MortML&lt;=MortMax),"OK","CHECK")</f>
        <v>OK</v>
      </c>
      <c r="E38" s="31"/>
      <c r="F38" s="31"/>
      <c r="G38" s="31"/>
      <c r="H38" s="31"/>
    </row>
    <row r="39" spans="2:8" ht="14" customHeight="1" x14ac:dyDescent="0.45"/>
    <row r="40" spans="2:8" ht="22.05" customHeight="1" x14ac:dyDescent="0.5">
      <c r="B40" s="7" t="s">
        <v>147</v>
      </c>
      <c r="C40" s="8"/>
      <c r="D40" s="8"/>
      <c r="E40" s="8"/>
      <c r="F40" s="8"/>
      <c r="G40" s="8"/>
      <c r="H40" s="8"/>
    </row>
    <row r="41" spans="2:8" ht="18" customHeight="1" x14ac:dyDescent="0.45">
      <c r="B41" s="13" t="s">
        <v>148</v>
      </c>
    </row>
    <row r="64" spans="2:2" x14ac:dyDescent="0.45">
      <c r="B64" s="43" t="s">
        <v>149</v>
      </c>
    </row>
    <row r="65" spans="2:6" hidden="1" outlineLevel="1" x14ac:dyDescent="0.45">
      <c r="B65" s="44" t="s">
        <v>134</v>
      </c>
      <c r="C65" s="44" t="s">
        <v>150</v>
      </c>
      <c r="D65" s="44" t="s">
        <v>151</v>
      </c>
      <c r="E65" s="44" t="s">
        <v>97</v>
      </c>
      <c r="F65" s="44" t="s">
        <v>152</v>
      </c>
    </row>
    <row r="66" spans="2:6" hidden="1" outlineLevel="1" x14ac:dyDescent="0.45">
      <c r="B66" s="45">
        <v>0.03</v>
      </c>
      <c r="D66" s="45">
        <f t="shared" ref="D66:D86" si="0">$D$10*(B66-$B$11)*(B66-$B$12)/(($B$10-$B$11)*($B$10-$B$12))+$D$11*(B66-$B$10)*(B66-$B$12)/(($B$11-$B$10)*($B$11-$B$12))+$D$12*(B66-$B$10)*(B66-$B$11)/(($B$12-$B$10)*($B$12-$B$11))</f>
        <v>5.9999999999999991E-2</v>
      </c>
      <c r="E66" s="45">
        <f t="shared" ref="E66:E86" si="1">$E$10*(B66-$B$11)*(B66-$B$12)/(($B$10-$B$11)*($B$10-$B$12))+$E$11*(B66-$B$10)*(B66-$B$12)/(($B$11-$B$10)*($B$11-$B$12))+$E$12*(B66-$B$10)*(B66-$B$11)/(($B$12-$B$10)*($B$12-$B$11))</f>
        <v>0.08</v>
      </c>
      <c r="F66" s="45">
        <f t="shared" ref="F66:F86" si="2">$F$10*(B66-$B$11)*(B66-$B$12)/(($B$10-$B$11)*($B$10-$B$12))+$F$11*(B66-$B$10)*(B66-$B$12)/(($B$11-$B$10)*($B$11-$B$12))+$F$12*(B66-$B$10)*(B66-$B$11)/(($B$12-$B$10)*($B$12-$B$11))</f>
        <v>0.1</v>
      </c>
    </row>
    <row r="67" spans="2:6" hidden="1" outlineLevel="1" x14ac:dyDescent="0.45">
      <c r="B67" s="45">
        <v>3.2500000000000001E-2</v>
      </c>
      <c r="D67" s="45">
        <f t="shared" si="0"/>
        <v>6.2197916666666665E-2</v>
      </c>
      <c r="E67" s="45">
        <f t="shared" si="1"/>
        <v>8.3006250000000004E-2</v>
      </c>
      <c r="F67" s="45">
        <f t="shared" si="2"/>
        <v>0.10382083333333335</v>
      </c>
    </row>
    <row r="68" spans="2:6" hidden="1" outlineLevel="1" x14ac:dyDescent="0.45">
      <c r="B68" s="45">
        <v>3.5000000000000003E-2</v>
      </c>
      <c r="D68" s="45">
        <f t="shared" si="0"/>
        <v>6.4375000000000002E-2</v>
      </c>
      <c r="E68" s="45">
        <f t="shared" si="1"/>
        <v>8.5974999999999996E-2</v>
      </c>
      <c r="F68" s="45">
        <f t="shared" si="2"/>
        <v>0.10755000000000001</v>
      </c>
    </row>
    <row r="69" spans="2:6" hidden="1" outlineLevel="1" x14ac:dyDescent="0.45">
      <c r="B69" s="45">
        <v>3.7499999999999999E-2</v>
      </c>
      <c r="D69" s="45">
        <f t="shared" si="0"/>
        <v>6.6531249999999986E-2</v>
      </c>
      <c r="E69" s="45">
        <f t="shared" si="1"/>
        <v>8.8906250000000006E-2</v>
      </c>
      <c r="F69" s="45">
        <f t="shared" si="2"/>
        <v>0.11118750000000001</v>
      </c>
    </row>
    <row r="70" spans="2:6" hidden="1" outlineLevel="1" x14ac:dyDescent="0.45">
      <c r="B70" s="45">
        <v>0.04</v>
      </c>
      <c r="D70" s="45">
        <f t="shared" si="0"/>
        <v>6.8666666666666668E-2</v>
      </c>
      <c r="E70" s="45">
        <f t="shared" si="1"/>
        <v>9.1799999999999993E-2</v>
      </c>
      <c r="F70" s="45">
        <f t="shared" si="2"/>
        <v>0.11473333333333335</v>
      </c>
    </row>
    <row r="71" spans="2:6" hidden="1" outlineLevel="1" x14ac:dyDescent="0.45">
      <c r="B71" s="45">
        <v>4.2500000000000003E-2</v>
      </c>
      <c r="D71" s="45">
        <f t="shared" si="0"/>
        <v>7.0781250000000004E-2</v>
      </c>
      <c r="E71" s="45">
        <f t="shared" si="1"/>
        <v>9.4656250000000011E-2</v>
      </c>
      <c r="F71" s="45">
        <f t="shared" si="2"/>
        <v>0.11818750000000001</v>
      </c>
    </row>
    <row r="72" spans="2:6" hidden="1" outlineLevel="1" x14ac:dyDescent="0.45">
      <c r="B72" s="45">
        <v>4.4999999999999998E-2</v>
      </c>
      <c r="D72" s="45">
        <f t="shared" si="0"/>
        <v>7.2875000000000009E-2</v>
      </c>
      <c r="E72" s="45">
        <f t="shared" si="1"/>
        <v>9.7475000000000006E-2</v>
      </c>
      <c r="F72" s="45">
        <f t="shared" si="2"/>
        <v>0.12154999999999999</v>
      </c>
    </row>
    <row r="73" spans="2:6" hidden="1" outlineLevel="1" x14ac:dyDescent="0.45">
      <c r="B73" s="45">
        <v>4.7500000000000001E-2</v>
      </c>
      <c r="D73" s="45">
        <f t="shared" si="0"/>
        <v>7.494791666666667E-2</v>
      </c>
      <c r="E73" s="45">
        <f t="shared" si="1"/>
        <v>0.10025625000000001</v>
      </c>
      <c r="F73" s="45">
        <f t="shared" si="2"/>
        <v>0.12482083333333334</v>
      </c>
    </row>
    <row r="74" spans="2:6" hidden="1" outlineLevel="1" x14ac:dyDescent="0.45">
      <c r="B74" s="45">
        <v>0.05</v>
      </c>
      <c r="D74" s="45">
        <f t="shared" si="0"/>
        <v>7.7000000000000013E-2</v>
      </c>
      <c r="E74" s="45">
        <f t="shared" si="1"/>
        <v>0.10299999999999998</v>
      </c>
      <c r="F74" s="45">
        <f t="shared" si="2"/>
        <v>0.128</v>
      </c>
    </row>
    <row r="75" spans="2:6" hidden="1" outlineLevel="1" x14ac:dyDescent="0.45">
      <c r="B75" s="45">
        <v>5.2499999999999998E-2</v>
      </c>
      <c r="D75" s="45">
        <f t="shared" si="0"/>
        <v>7.9031249999999997E-2</v>
      </c>
      <c r="E75" s="45">
        <f t="shared" si="1"/>
        <v>0.10570624999999999</v>
      </c>
      <c r="F75" s="45">
        <f t="shared" si="2"/>
        <v>0.13108749999999997</v>
      </c>
    </row>
    <row r="76" spans="2:6" hidden="1" outlineLevel="1" x14ac:dyDescent="0.45">
      <c r="B76" s="45">
        <v>5.5E-2</v>
      </c>
      <c r="D76" s="45">
        <f t="shared" si="0"/>
        <v>8.1041666666666679E-2</v>
      </c>
      <c r="E76" s="45">
        <f t="shared" si="1"/>
        <v>0.108375</v>
      </c>
      <c r="F76" s="45">
        <f t="shared" si="2"/>
        <v>0.13408333333333333</v>
      </c>
    </row>
    <row r="77" spans="2:6" hidden="1" outlineLevel="1" x14ac:dyDescent="0.45">
      <c r="B77" s="45">
        <v>5.7500000000000002E-2</v>
      </c>
      <c r="D77" s="45">
        <f t="shared" si="0"/>
        <v>8.3031250000000015E-2</v>
      </c>
      <c r="E77" s="45">
        <f t="shared" si="1"/>
        <v>0.11100625</v>
      </c>
      <c r="F77" s="45">
        <f t="shared" si="2"/>
        <v>0.13698750000000001</v>
      </c>
    </row>
    <row r="78" spans="2:6" hidden="1" outlineLevel="1" x14ac:dyDescent="0.45">
      <c r="B78" s="45">
        <v>0.06</v>
      </c>
      <c r="D78" s="45">
        <f t="shared" si="0"/>
        <v>8.5000000000000006E-2</v>
      </c>
      <c r="E78" s="45">
        <f t="shared" si="1"/>
        <v>0.11360000000000001</v>
      </c>
      <c r="F78" s="45">
        <f t="shared" si="2"/>
        <v>0.13980000000000004</v>
      </c>
    </row>
    <row r="79" spans="2:6" hidden="1" outlineLevel="1" x14ac:dyDescent="0.45">
      <c r="B79" s="45">
        <v>6.25E-2</v>
      </c>
      <c r="D79" s="45">
        <f t="shared" si="0"/>
        <v>8.6947916666666653E-2</v>
      </c>
      <c r="E79" s="45">
        <f t="shared" si="1"/>
        <v>0.11615625000000002</v>
      </c>
      <c r="F79" s="45">
        <f t="shared" si="2"/>
        <v>0.14252083333333337</v>
      </c>
    </row>
    <row r="80" spans="2:6" hidden="1" outlineLevel="1" x14ac:dyDescent="0.45">
      <c r="B80" s="45">
        <v>6.5000000000000002E-2</v>
      </c>
      <c r="D80" s="45">
        <f t="shared" si="0"/>
        <v>8.887500000000001E-2</v>
      </c>
      <c r="E80" s="45">
        <f t="shared" si="1"/>
        <v>0.118675</v>
      </c>
      <c r="F80" s="45">
        <f t="shared" si="2"/>
        <v>0.14515</v>
      </c>
    </row>
    <row r="81" spans="2:6" hidden="1" outlineLevel="1" x14ac:dyDescent="0.45">
      <c r="B81" s="45">
        <v>6.7500000000000004E-2</v>
      </c>
      <c r="D81" s="45">
        <f t="shared" si="0"/>
        <v>9.0781249999999994E-2</v>
      </c>
      <c r="E81" s="45">
        <f t="shared" si="1"/>
        <v>0.12115625000000001</v>
      </c>
      <c r="F81" s="45">
        <f t="shared" si="2"/>
        <v>0.1476875</v>
      </c>
    </row>
    <row r="82" spans="2:6" hidden="1" outlineLevel="1" x14ac:dyDescent="0.45">
      <c r="B82" s="45">
        <v>7.0000000000000007E-2</v>
      </c>
      <c r="D82" s="45">
        <f t="shared" si="0"/>
        <v>9.2666666666666675E-2</v>
      </c>
      <c r="E82" s="45">
        <f t="shared" si="1"/>
        <v>0.12360000000000002</v>
      </c>
      <c r="F82" s="45">
        <f t="shared" si="2"/>
        <v>0.15013333333333334</v>
      </c>
    </row>
    <row r="83" spans="2:6" hidden="1" outlineLevel="1" x14ac:dyDescent="0.45">
      <c r="B83" s="45">
        <v>7.2500000000000009E-2</v>
      </c>
      <c r="D83" s="45">
        <f t="shared" si="0"/>
        <v>9.4531250000000011E-2</v>
      </c>
      <c r="E83" s="45">
        <f t="shared" si="1"/>
        <v>0.12600625000000001</v>
      </c>
      <c r="F83" s="45">
        <f t="shared" si="2"/>
        <v>0.1524875</v>
      </c>
    </row>
    <row r="84" spans="2:6" hidden="1" outlineLevel="1" x14ac:dyDescent="0.45">
      <c r="B84" s="45">
        <v>7.4999999999999997E-2</v>
      </c>
      <c r="D84" s="45">
        <f t="shared" si="0"/>
        <v>9.6375000000000002E-2</v>
      </c>
      <c r="E84" s="45">
        <f t="shared" si="1"/>
        <v>0.12837499999999999</v>
      </c>
      <c r="F84" s="45">
        <f t="shared" si="2"/>
        <v>0.15475</v>
      </c>
    </row>
    <row r="85" spans="2:6" hidden="1" outlineLevel="1" x14ac:dyDescent="0.45">
      <c r="B85" s="45">
        <v>7.7499999999999999E-2</v>
      </c>
      <c r="D85" s="45">
        <f t="shared" si="0"/>
        <v>9.819791666666669E-2</v>
      </c>
      <c r="E85" s="45">
        <f t="shared" si="1"/>
        <v>0.13070625000000002</v>
      </c>
      <c r="F85" s="45">
        <f t="shared" si="2"/>
        <v>0.15692083333333334</v>
      </c>
    </row>
    <row r="86" spans="2:6" hidden="1" outlineLevel="1" x14ac:dyDescent="0.45">
      <c r="B86" s="45">
        <v>0.08</v>
      </c>
      <c r="D86" s="45">
        <f t="shared" si="0"/>
        <v>0.1</v>
      </c>
      <c r="E86" s="45">
        <f t="shared" si="1"/>
        <v>0.13300000000000001</v>
      </c>
      <c r="F86" s="45">
        <f t="shared" si="2"/>
        <v>0.159</v>
      </c>
    </row>
    <row r="87" spans="2:6" hidden="1" outlineLevel="1" x14ac:dyDescent="0.45">
      <c r="B87" s="46" cm="1">
        <f t="array" aca="1" ref="B87" ca="1">_xll.VoseSimValue(InterestOut,1)</f>
        <v>4.9095203925873465E-2</v>
      </c>
      <c r="C87" s="46" cm="1">
        <f t="array" aca="1" ref="C87" ca="1">_xll.VoseSimValue(MortgageOut,1)</f>
        <v>0.10326912948142873</v>
      </c>
    </row>
    <row r="88" spans="2:6" hidden="1" outlineLevel="1" x14ac:dyDescent="0.45">
      <c r="B88" s="46" cm="1">
        <f t="array" aca="1" ref="B88" ca="1">_xll.VoseSimValue(InterestOut,2)</f>
        <v>7.5044823702192703E-2</v>
      </c>
      <c r="C88" s="46" cm="1">
        <f t="array" aca="1" ref="C88" ca="1">_xll.VoseSimValue(MortgageOut,2)</f>
        <v>0.11064723204581546</v>
      </c>
    </row>
    <row r="89" spans="2:6" hidden="1" outlineLevel="1" x14ac:dyDescent="0.45">
      <c r="B89" s="46" cm="1">
        <f t="array" aca="1" ref="B89" ca="1">_xll.VoseSimValue(InterestOut,3)</f>
        <v>5.7472039872446534E-2</v>
      </c>
      <c r="C89" s="46" cm="1">
        <f t="array" aca="1" ref="C89" ca="1">_xll.VoseSimValue(MortgageOut,3)</f>
        <v>0.11689830901436214</v>
      </c>
    </row>
    <row r="90" spans="2:6" hidden="1" outlineLevel="1" x14ac:dyDescent="0.45">
      <c r="B90" s="46" cm="1">
        <f t="array" aca="1" ref="B90" ca="1">_xll.VoseSimValue(InterestOut,4)</f>
        <v>6.6437038087169553E-2</v>
      </c>
      <c r="C90" s="46" cm="1">
        <f t="array" aca="1" ref="C90" ca="1">_xll.VoseSimValue(MortgageOut,4)</f>
        <v>0.13093587010587643</v>
      </c>
    </row>
    <row r="91" spans="2:6" hidden="1" outlineLevel="1" x14ac:dyDescent="0.45">
      <c r="B91" s="46" cm="1">
        <f t="array" aca="1" ref="B91" ca="1">_xll.VoseSimValue(InterestOut,5)</f>
        <v>3.0614617404349911E-2</v>
      </c>
      <c r="C91" s="46" cm="1">
        <f t="array" aca="1" ref="C91" ca="1">_xll.VoseSimValue(MortgageOut,5)</f>
        <v>7.6073691514537203E-2</v>
      </c>
    </row>
    <row r="92" spans="2:6" hidden="1" outlineLevel="1" x14ac:dyDescent="0.45">
      <c r="B92" s="46" cm="1">
        <f t="array" aca="1" ref="B92" ca="1">_xll.VoseSimValue(InterestOut,6)</f>
        <v>4.0552836157230314E-2</v>
      </c>
      <c r="C92" s="46" cm="1">
        <f t="array" aca="1" ref="C92" ca="1">_xll.VoseSimValue(MortgageOut,6)</f>
        <v>8.1551222689796934E-2</v>
      </c>
    </row>
    <row r="93" spans="2:6" hidden="1" outlineLevel="1" x14ac:dyDescent="0.45">
      <c r="B93" s="46" cm="1">
        <f t="array" aca="1" ref="B93" ca="1">_xll.VoseSimValue(InterestOut,7)</f>
        <v>4.6017472822477146E-2</v>
      </c>
      <c r="C93" s="46" cm="1">
        <f t="array" aca="1" ref="C93" ca="1">_xll.VoseSimValue(MortgageOut,7)</f>
        <v>9.8817809163063236E-2</v>
      </c>
    </row>
    <row r="94" spans="2:6" hidden="1" outlineLevel="1" x14ac:dyDescent="0.45">
      <c r="B94" s="46" cm="1">
        <f t="array" aca="1" ref="B94" ca="1">_xll.VoseSimValue(InterestOut,8)</f>
        <v>7.6428077290444402E-2</v>
      </c>
      <c r="C94" s="46" cm="1">
        <f t="array" aca="1" ref="C94" ca="1">_xll.VoseSimValue(MortgageOut,8)</f>
        <v>0.13110551122821071</v>
      </c>
    </row>
    <row r="95" spans="2:6" hidden="1" outlineLevel="1" x14ac:dyDescent="0.45">
      <c r="B95" s="46" cm="1">
        <f t="array" aca="1" ref="B95" ca="1">_xll.VoseSimValue(InterestOut,9)</f>
        <v>4.123626055264875E-2</v>
      </c>
      <c r="C95" s="46" cm="1">
        <f t="array" aca="1" ref="C95" ca="1">_xll.VoseSimValue(MortgageOut,9)</f>
        <v>0.10469483572515928</v>
      </c>
    </row>
    <row r="96" spans="2:6" hidden="1" outlineLevel="1" x14ac:dyDescent="0.45">
      <c r="B96" s="46" cm="1">
        <f t="array" aca="1" ref="B96" ca="1">_xll.VoseSimValue(InterestOut,10)</f>
        <v>4.4119502155034698E-2</v>
      </c>
      <c r="C96" s="46" cm="1">
        <f t="array" aca="1" ref="C96" ca="1">_xll.VoseSimValue(MortgageOut,10)</f>
        <v>9.4803818504085646E-2</v>
      </c>
    </row>
    <row r="97" spans="2:3" hidden="1" outlineLevel="1" x14ac:dyDescent="0.45">
      <c r="B97" s="46" cm="1">
        <f t="array" aca="1" ref="B97" ca="1">_xll.VoseSimValue(InterestOut,11)</f>
        <v>3.9100827243553543E-2</v>
      </c>
      <c r="C97" s="46" cm="1">
        <f t="array" aca="1" ref="C97" ca="1">_xll.VoseSimValue(MortgageOut,11)</f>
        <v>0.10211652301920621</v>
      </c>
    </row>
    <row r="98" spans="2:3" hidden="1" outlineLevel="1" x14ac:dyDescent="0.45">
      <c r="B98" s="46" cm="1">
        <f t="array" aca="1" ref="B98" ca="1">_xll.VoseSimValue(InterestOut,12)</f>
        <v>4.855679520209448E-2</v>
      </c>
      <c r="C98" s="46" cm="1">
        <f t="array" aca="1" ref="C98" ca="1">_xll.VoseSimValue(MortgageOut,12)</f>
        <v>8.2657274087959198E-2</v>
      </c>
    </row>
    <row r="99" spans="2:3" hidden="1" outlineLevel="1" x14ac:dyDescent="0.45">
      <c r="B99" s="46" cm="1">
        <f t="array" aca="1" ref="B99" ca="1">_xll.VoseSimValue(InterestOut,13)</f>
        <v>4.2575636338402702E-2</v>
      </c>
      <c r="C99" s="46" cm="1">
        <f t="array" aca="1" ref="C99" ca="1">_xll.VoseSimValue(MortgageOut,13)</f>
        <v>8.3760087948814205E-2</v>
      </c>
    </row>
    <row r="100" spans="2:3" hidden="1" outlineLevel="1" x14ac:dyDescent="0.45">
      <c r="B100" s="46" cm="1">
        <f t="array" aca="1" ref="B100" ca="1">_xll.VoseSimValue(InterestOut,14)</f>
        <v>4.83276286013955E-2</v>
      </c>
      <c r="C100" s="46" cm="1">
        <f t="array" aca="1" ref="C100" ca="1">_xll.VoseSimValue(MortgageOut,14)</f>
        <v>8.4644644986405879E-2</v>
      </c>
    </row>
    <row r="101" spans="2:3" hidden="1" outlineLevel="1" x14ac:dyDescent="0.45">
      <c r="B101" s="46" cm="1">
        <f t="array" aca="1" ref="B101" ca="1">_xll.VoseSimValue(InterestOut,15)</f>
        <v>4.7197764737217818E-2</v>
      </c>
      <c r="C101" s="46" cm="1">
        <f t="array" aca="1" ref="C101" ca="1">_xll.VoseSimValue(MortgageOut,15)</f>
        <v>9.1432994558382816E-2</v>
      </c>
    </row>
    <row r="102" spans="2:3" hidden="1" outlineLevel="1" x14ac:dyDescent="0.45">
      <c r="B102" s="46" cm="1">
        <f t="array" aca="1" ref="B102" ca="1">_xll.VoseSimValue(InterestOut,16)</f>
        <v>5.5939237935619668E-2</v>
      </c>
      <c r="C102" s="46" cm="1">
        <f t="array" aca="1" ref="C102" ca="1">_xll.VoseSimValue(MortgageOut,16)</f>
        <v>0.10153346059240426</v>
      </c>
    </row>
    <row r="103" spans="2:3" hidden="1" outlineLevel="1" x14ac:dyDescent="0.45">
      <c r="B103" s="46" cm="1">
        <f t="array" aca="1" ref="B103" ca="1">_xll.VoseSimValue(InterestOut,17)</f>
        <v>4.8561725195763593E-2</v>
      </c>
      <c r="C103" s="46" cm="1">
        <f t="array" aca="1" ref="C103" ca="1">_xll.VoseSimValue(MortgageOut,17)</f>
        <v>8.568431025231521E-2</v>
      </c>
    </row>
    <row r="104" spans="2:3" hidden="1" outlineLevel="1" x14ac:dyDescent="0.45">
      <c r="B104" s="46" cm="1">
        <f t="array" aca="1" ref="B104" ca="1">_xll.VoseSimValue(InterestOut,18)</f>
        <v>6.6641000710494488E-2</v>
      </c>
      <c r="C104" s="46" cm="1">
        <f t="array" aca="1" ref="C104" ca="1">_xll.VoseSimValue(MortgageOut,18)</f>
        <v>0.10486775747898885</v>
      </c>
    </row>
    <row r="105" spans="2:3" hidden="1" outlineLevel="1" x14ac:dyDescent="0.45">
      <c r="B105" s="46" cm="1">
        <f t="array" aca="1" ref="B105" ca="1">_xll.VoseSimValue(InterestOut,19)</f>
        <v>5.2302104463853971E-2</v>
      </c>
      <c r="C105" s="46" cm="1">
        <f t="array" aca="1" ref="C105" ca="1">_xll.VoseSimValue(MortgageOut,19)</f>
        <v>0.1036856618895981</v>
      </c>
    </row>
    <row r="106" spans="2:3" hidden="1" outlineLevel="1" x14ac:dyDescent="0.45">
      <c r="B106" s="46" cm="1">
        <f t="array" aca="1" ref="B106" ca="1">_xll.VoseSimValue(InterestOut,20)</f>
        <v>6.1970660571174514E-2</v>
      </c>
      <c r="C106" s="46" cm="1">
        <f t="array" aca="1" ref="C106" ca="1">_xll.VoseSimValue(MortgageOut,20)</f>
        <v>0.12116906623109691</v>
      </c>
    </row>
    <row r="107" spans="2:3" hidden="1" outlineLevel="1" x14ac:dyDescent="0.45">
      <c r="B107" s="46" cm="1">
        <f t="array" aca="1" ref="B107" ca="1">_xll.VoseSimValue(InterestOut,21)</f>
        <v>4.9152303295972366E-2</v>
      </c>
      <c r="C107" s="46" cm="1">
        <f t="array" aca="1" ref="C107" ca="1">_xll.VoseSimValue(MortgageOut,21)</f>
        <v>8.4445900000169716E-2</v>
      </c>
    </row>
    <row r="108" spans="2:3" hidden="1" outlineLevel="1" x14ac:dyDescent="0.45">
      <c r="B108" s="46" cm="1">
        <f t="array" aca="1" ref="B108" ca="1">_xll.VoseSimValue(InterestOut,22)</f>
        <v>4.6319542595019969E-2</v>
      </c>
      <c r="C108" s="46" cm="1">
        <f t="array" aca="1" ref="C108" ca="1">_xll.VoseSimValue(MortgageOut,22)</f>
        <v>8.8295118659472871E-2</v>
      </c>
    </row>
    <row r="109" spans="2:3" hidden="1" outlineLevel="1" x14ac:dyDescent="0.45">
      <c r="B109" s="46" cm="1">
        <f t="array" aca="1" ref="B109" ca="1">_xll.VoseSimValue(InterestOut,23)</f>
        <v>5.6397674326101335E-2</v>
      </c>
      <c r="C109" s="46" cm="1">
        <f t="array" aca="1" ref="C109" ca="1">_xll.VoseSimValue(MortgageOut,23)</f>
        <v>0.10838270239316501</v>
      </c>
    </row>
    <row r="110" spans="2:3" hidden="1" outlineLevel="1" x14ac:dyDescent="0.45">
      <c r="B110" s="46" cm="1">
        <f t="array" aca="1" ref="B110" ca="1">_xll.VoseSimValue(InterestOut,24)</f>
        <v>5.1922549432721954E-2</v>
      </c>
      <c r="C110" s="46" cm="1">
        <f t="array" aca="1" ref="C110" ca="1">_xll.VoseSimValue(MortgageOut,24)</f>
        <v>0.10363195588489219</v>
      </c>
    </row>
    <row r="111" spans="2:3" hidden="1" outlineLevel="1" x14ac:dyDescent="0.45">
      <c r="B111" s="46" cm="1">
        <f t="array" aca="1" ref="B111" ca="1">_xll.VoseSimValue(InterestOut,25)</f>
        <v>4.3154628120470495E-2</v>
      </c>
      <c r="C111" s="46" cm="1">
        <f t="array" aca="1" ref="C111" ca="1">_xll.VoseSimValue(MortgageOut,25)</f>
        <v>9.9210779380242281E-2</v>
      </c>
    </row>
    <row r="112" spans="2:3" hidden="1" outlineLevel="1" x14ac:dyDescent="0.45">
      <c r="B112" s="46" cm="1">
        <f t="array" aca="1" ref="B112" ca="1">_xll.VoseSimValue(InterestOut,26)</f>
        <v>4.9788898675703602E-2</v>
      </c>
      <c r="C112" s="46" cm="1">
        <f t="array" aca="1" ref="C112" ca="1">_xll.VoseSimValue(MortgageOut,26)</f>
        <v>9.4329490777708691E-2</v>
      </c>
    </row>
    <row r="113" spans="2:3" hidden="1" outlineLevel="1" x14ac:dyDescent="0.45">
      <c r="B113" s="46" cm="1">
        <f t="array" aca="1" ref="B113" ca="1">_xll.VoseSimValue(InterestOut,27)</f>
        <v>6.3391442067446346E-2</v>
      </c>
      <c r="C113" s="46" cm="1">
        <f t="array" aca="1" ref="C113" ca="1">_xll.VoseSimValue(MortgageOut,27)</f>
        <v>0.10976605165054039</v>
      </c>
    </row>
    <row r="114" spans="2:3" hidden="1" outlineLevel="1" x14ac:dyDescent="0.45">
      <c r="B114" s="46" cm="1">
        <f t="array" aca="1" ref="B114" ca="1">_xll.VoseSimValue(InterestOut,28)</f>
        <v>4.3924697450954543E-2</v>
      </c>
      <c r="C114" s="46" cm="1">
        <f t="array" aca="1" ref="C114" ca="1">_xll.VoseSimValue(MortgageOut,28)</f>
        <v>9.2393962250795172E-2</v>
      </c>
    </row>
    <row r="115" spans="2:3" hidden="1" outlineLevel="1" x14ac:dyDescent="0.45">
      <c r="B115" s="46" cm="1">
        <f t="array" aca="1" ref="B115" ca="1">_xll.VoseSimValue(InterestOut,29)</f>
        <v>3.5401382078426108E-2</v>
      </c>
      <c r="C115" s="46" cm="1">
        <f t="array" aca="1" ref="C115" ca="1">_xll.VoseSimValue(MortgageOut,29)</f>
        <v>9.0627372693457053E-2</v>
      </c>
    </row>
    <row r="116" spans="2:3" hidden="1" outlineLevel="1" x14ac:dyDescent="0.45">
      <c r="B116" s="46" cm="1">
        <f t="array" aca="1" ref="B116" ca="1">_xll.VoseSimValue(InterestOut,30)</f>
        <v>5.2184772841892366E-2</v>
      </c>
      <c r="C116" s="46" cm="1">
        <f t="array" aca="1" ref="C116" ca="1">_xll.VoseSimValue(MortgageOut,30)</f>
        <v>0.10500341637400064</v>
      </c>
    </row>
    <row r="117" spans="2:3" hidden="1" outlineLevel="1" x14ac:dyDescent="0.45">
      <c r="B117" s="46" cm="1">
        <f t="array" aca="1" ref="B117" ca="1">_xll.VoseSimValue(InterestOut,31)</f>
        <v>5.5960431340812411E-2</v>
      </c>
      <c r="C117" s="46" cm="1">
        <f t="array" aca="1" ref="C117" ca="1">_xll.VoseSimValue(MortgageOut,31)</f>
        <v>0.11176515175425179</v>
      </c>
    </row>
    <row r="118" spans="2:3" hidden="1" outlineLevel="1" x14ac:dyDescent="0.45">
      <c r="B118" s="46" cm="1">
        <f t="array" aca="1" ref="B118" ca="1">_xll.VoseSimValue(InterestOut,32)</f>
        <v>6.5273161469414448E-2</v>
      </c>
      <c r="C118" s="46" cm="1">
        <f t="array" aca="1" ref="C118" ca="1">_xll.VoseSimValue(MortgageOut,32)</f>
        <v>0.13327078545416449</v>
      </c>
    </row>
    <row r="119" spans="2:3" hidden="1" outlineLevel="1" x14ac:dyDescent="0.45">
      <c r="B119" s="46" cm="1">
        <f t="array" aca="1" ref="B119" ca="1">_xll.VoseSimValue(InterestOut,33)</f>
        <v>4.9102637888722683E-2</v>
      </c>
      <c r="C119" s="46" cm="1">
        <f t="array" aca="1" ref="C119" ca="1">_xll.VoseSimValue(MortgageOut,33)</f>
        <v>8.3782106649750832E-2</v>
      </c>
    </row>
    <row r="120" spans="2:3" hidden="1" outlineLevel="1" x14ac:dyDescent="0.45">
      <c r="B120" s="46" cm="1">
        <f t="array" aca="1" ref="B120" ca="1">_xll.VoseSimValue(InterestOut,34)</f>
        <v>5.0149414295728563E-2</v>
      </c>
      <c r="C120" s="46" cm="1">
        <f t="array" aca="1" ref="C120" ca="1">_xll.VoseSimValue(MortgageOut,34)</f>
        <v>0.11070114682323812</v>
      </c>
    </row>
    <row r="121" spans="2:3" hidden="1" outlineLevel="1" x14ac:dyDescent="0.45">
      <c r="B121" s="46" cm="1">
        <f t="array" aca="1" ref="B121" ca="1">_xll.VoseSimValue(InterestOut,35)</f>
        <v>5.2834426514502042E-2</v>
      </c>
      <c r="C121" s="46" cm="1">
        <f t="array" aca="1" ref="C121" ca="1">_xll.VoseSimValue(MortgageOut,35)</f>
        <v>0.10753627484975531</v>
      </c>
    </row>
    <row r="122" spans="2:3" hidden="1" outlineLevel="1" x14ac:dyDescent="0.45">
      <c r="B122" s="46" cm="1">
        <f t="array" aca="1" ref="B122" ca="1">_xll.VoseSimValue(InterestOut,36)</f>
        <v>4.9454377923620348E-2</v>
      </c>
      <c r="C122" s="46" cm="1">
        <f t="array" aca="1" ref="C122" ca="1">_xll.VoseSimValue(MortgageOut,36)</f>
        <v>0.11994434972098381</v>
      </c>
    </row>
    <row r="123" spans="2:3" hidden="1" outlineLevel="1" x14ac:dyDescent="0.45">
      <c r="B123" s="46" cm="1">
        <f t="array" aca="1" ref="B123" ca="1">_xll.VoseSimValue(InterestOut,37)</f>
        <v>4.1007074452037273E-2</v>
      </c>
      <c r="C123" s="46" cm="1">
        <f t="array" aca="1" ref="C123" ca="1">_xll.VoseSimValue(MortgageOut,37)</f>
        <v>8.663509634297617E-2</v>
      </c>
    </row>
    <row r="124" spans="2:3" hidden="1" outlineLevel="1" x14ac:dyDescent="0.45">
      <c r="B124" s="46" cm="1">
        <f t="array" aca="1" ref="B124" ca="1">_xll.VoseSimValue(InterestOut,38)</f>
        <v>6.6894246467038981E-2</v>
      </c>
      <c r="C124" s="46" cm="1">
        <f t="array" aca="1" ref="C124" ca="1">_xll.VoseSimValue(MortgageOut,38)</f>
        <v>0.11710131800490936</v>
      </c>
    </row>
    <row r="125" spans="2:3" hidden="1" outlineLevel="1" x14ac:dyDescent="0.45">
      <c r="B125" s="46" cm="1">
        <f t="array" aca="1" ref="B125" ca="1">_xll.VoseSimValue(InterestOut,39)</f>
        <v>4.2954759033927474E-2</v>
      </c>
      <c r="C125" s="46" cm="1">
        <f t="array" aca="1" ref="C125" ca="1">_xll.VoseSimValue(MortgageOut,39)</f>
        <v>9.2954249275048639E-2</v>
      </c>
    </row>
    <row r="126" spans="2:3" hidden="1" outlineLevel="1" x14ac:dyDescent="0.45">
      <c r="B126" s="46" cm="1">
        <f t="array" aca="1" ref="B126" ca="1">_xll.VoseSimValue(InterestOut,40)</f>
        <v>5.9387064650646901E-2</v>
      </c>
      <c r="C126" s="46" cm="1">
        <f t="array" aca="1" ref="C126" ca="1">_xll.VoseSimValue(MortgageOut,40)</f>
        <v>0.11421244443894314</v>
      </c>
    </row>
    <row r="127" spans="2:3" hidden="1" outlineLevel="1" x14ac:dyDescent="0.45">
      <c r="B127" s="46" cm="1">
        <f t="array" aca="1" ref="B127" ca="1">_xll.VoseSimValue(InterestOut,41)</f>
        <v>6.0186419939137079E-2</v>
      </c>
      <c r="C127" s="46" cm="1">
        <f t="array" aca="1" ref="C127" ca="1">_xll.VoseSimValue(MortgageOut,41)</f>
        <v>0.10686788362589722</v>
      </c>
    </row>
    <row r="128" spans="2:3" hidden="1" outlineLevel="1" x14ac:dyDescent="0.45">
      <c r="B128" s="46" cm="1">
        <f t="array" aca="1" ref="B128" ca="1">_xll.VoseSimValue(InterestOut,42)</f>
        <v>5.7335897948424891E-2</v>
      </c>
      <c r="C128" s="46" cm="1">
        <f t="array" aca="1" ref="C128" ca="1">_xll.VoseSimValue(MortgageOut,42)</f>
        <v>0.10482604433497475</v>
      </c>
    </row>
    <row r="129" spans="2:3" hidden="1" outlineLevel="1" x14ac:dyDescent="0.45">
      <c r="B129" s="46" cm="1">
        <f t="array" aca="1" ref="B129" ca="1">_xll.VoseSimValue(InterestOut,43)</f>
        <v>6.9417045331389746E-2</v>
      </c>
      <c r="C129" s="46" cm="1">
        <f t="array" aca="1" ref="C129" ca="1">_xll.VoseSimValue(MortgageOut,43)</f>
        <v>0.12851828188776948</v>
      </c>
    </row>
    <row r="130" spans="2:3" hidden="1" outlineLevel="1" x14ac:dyDescent="0.45">
      <c r="B130" s="46" cm="1">
        <f t="array" aca="1" ref="B130" ca="1">_xll.VoseSimValue(InterestOut,44)</f>
        <v>6.0260517192941579E-2</v>
      </c>
      <c r="C130" s="46" cm="1">
        <f t="array" aca="1" ref="C130" ca="1">_xll.VoseSimValue(MortgageOut,44)</f>
        <v>0.11610019555141315</v>
      </c>
    </row>
    <row r="131" spans="2:3" hidden="1" outlineLevel="1" x14ac:dyDescent="0.45">
      <c r="B131" s="46" cm="1">
        <f t="array" aca="1" ref="B131" ca="1">_xll.VoseSimValue(InterestOut,45)</f>
        <v>4.6323684980288805E-2</v>
      </c>
      <c r="C131" s="46" cm="1">
        <f t="array" aca="1" ref="C131" ca="1">_xll.VoseSimValue(MortgageOut,45)</f>
        <v>9.7300214584651462E-2</v>
      </c>
    </row>
    <row r="132" spans="2:3" hidden="1" outlineLevel="1" x14ac:dyDescent="0.45">
      <c r="B132" s="46" cm="1">
        <f t="array" aca="1" ref="B132" ca="1">_xll.VoseSimValue(InterestOut,46)</f>
        <v>3.9121102537512116E-2</v>
      </c>
      <c r="C132" s="46" cm="1">
        <f t="array" aca="1" ref="C132" ca="1">_xll.VoseSimValue(MortgageOut,46)</f>
        <v>8.5058936799069979E-2</v>
      </c>
    </row>
    <row r="133" spans="2:3" hidden="1" outlineLevel="1" x14ac:dyDescent="0.45">
      <c r="B133" s="46" cm="1">
        <f t="array" aca="1" ref="B133" ca="1">_xll.VoseSimValue(InterestOut,47)</f>
        <v>5.6611007420773581E-2</v>
      </c>
      <c r="C133" s="46" cm="1">
        <f t="array" aca="1" ref="C133" ca="1">_xll.VoseSimValue(MortgageOut,47)</f>
        <v>9.8777872163540684E-2</v>
      </c>
    </row>
    <row r="134" spans="2:3" hidden="1" outlineLevel="1" x14ac:dyDescent="0.45">
      <c r="B134" s="46" cm="1">
        <f t="array" aca="1" ref="B134" ca="1">_xll.VoseSimValue(InterestOut,48)</f>
        <v>5.1753024229332131E-2</v>
      </c>
      <c r="C134" s="46" cm="1">
        <f t="array" aca="1" ref="C134" ca="1">_xll.VoseSimValue(MortgageOut,48)</f>
        <v>0.10349327529495711</v>
      </c>
    </row>
    <row r="135" spans="2:3" hidden="1" outlineLevel="1" x14ac:dyDescent="0.45">
      <c r="B135" s="46" cm="1">
        <f t="array" aca="1" ref="B135" ca="1">_xll.VoseSimValue(InterestOut,49)</f>
        <v>6.3309299598229313E-2</v>
      </c>
      <c r="C135" s="46" cm="1">
        <f t="array" aca="1" ref="C135" ca="1">_xll.VoseSimValue(MortgageOut,49)</f>
        <v>0.11792247821040239</v>
      </c>
    </row>
    <row r="136" spans="2:3" hidden="1" outlineLevel="1" x14ac:dyDescent="0.45">
      <c r="B136" s="46" cm="1">
        <f t="array" aca="1" ref="B136" ca="1">_xll.VoseSimValue(InterestOut,50)</f>
        <v>6.2784256460347077E-2</v>
      </c>
      <c r="C136" s="46" cm="1">
        <f t="array" aca="1" ref="C136" ca="1">_xll.VoseSimValue(MortgageOut,50)</f>
        <v>0.12409924569817049</v>
      </c>
    </row>
    <row r="137" spans="2:3" hidden="1" outlineLevel="1" x14ac:dyDescent="0.45">
      <c r="B137" s="46" cm="1">
        <f t="array" aca="1" ref="B137" ca="1">_xll.VoseSimValue(InterestOut,51)</f>
        <v>6.4210722105265017E-2</v>
      </c>
      <c r="C137" s="46" cm="1">
        <f t="array" aca="1" ref="C137" ca="1">_xll.VoseSimValue(MortgageOut,51)</f>
        <v>0.12636377345407301</v>
      </c>
    </row>
    <row r="138" spans="2:3" hidden="1" outlineLevel="1" x14ac:dyDescent="0.45">
      <c r="B138" s="46" cm="1">
        <f t="array" aca="1" ref="B138" ca="1">_xll.VoseSimValue(InterestOut,52)</f>
        <v>6.1269909563748941E-2</v>
      </c>
      <c r="C138" s="46" cm="1">
        <f t="array" aca="1" ref="C138" ca="1">_xll.VoseSimValue(MortgageOut,52)</f>
        <v>0.12472235645663446</v>
      </c>
    </row>
    <row r="139" spans="2:3" hidden="1" outlineLevel="1" x14ac:dyDescent="0.45">
      <c r="B139" s="46" cm="1">
        <f t="array" aca="1" ref="B139" ca="1">_xll.VoseSimValue(InterestOut,53)</f>
        <v>3.8774186704191652E-2</v>
      </c>
      <c r="C139" s="46" cm="1">
        <f t="array" aca="1" ref="C139" ca="1">_xll.VoseSimValue(MortgageOut,53)</f>
        <v>8.5535012232640747E-2</v>
      </c>
    </row>
    <row r="140" spans="2:3" hidden="1" outlineLevel="1" x14ac:dyDescent="0.45">
      <c r="B140" s="46" cm="1">
        <f t="array" aca="1" ref="B140" ca="1">_xll.VoseSimValue(InterestOut,54)</f>
        <v>6.1288051553864874E-2</v>
      </c>
      <c r="C140" s="46" cm="1">
        <f t="array" aca="1" ref="C140" ca="1">_xll.VoseSimValue(MortgageOut,54)</f>
        <v>0.1070441639069262</v>
      </c>
    </row>
    <row r="141" spans="2:3" hidden="1" outlineLevel="1" x14ac:dyDescent="0.45">
      <c r="B141" s="46" cm="1">
        <f t="array" aca="1" ref="B141" ca="1">_xll.VoseSimValue(InterestOut,55)</f>
        <v>3.6269086469247494E-2</v>
      </c>
      <c r="C141" s="46" cm="1">
        <f t="array" aca="1" ref="C141" ca="1">_xll.VoseSimValue(MortgageOut,55)</f>
        <v>8.0490654783674953E-2</v>
      </c>
    </row>
    <row r="142" spans="2:3" hidden="1" outlineLevel="1" x14ac:dyDescent="0.45">
      <c r="B142" s="46" cm="1">
        <f t="array" aca="1" ref="B142" ca="1">_xll.VoseSimValue(InterestOut,56)</f>
        <v>4.5194933714292652E-2</v>
      </c>
      <c r="C142" s="46" cm="1">
        <f t="array" aca="1" ref="C142" ca="1">_xll.VoseSimValue(MortgageOut,56)</f>
        <v>0.10962465886021844</v>
      </c>
    </row>
    <row r="143" spans="2:3" hidden="1" outlineLevel="1" x14ac:dyDescent="0.45">
      <c r="B143" s="46" cm="1">
        <f t="array" aca="1" ref="B143" ca="1">_xll.VoseSimValue(InterestOut,57)</f>
        <v>4.2033946200817768E-2</v>
      </c>
      <c r="C143" s="46" cm="1">
        <f t="array" aca="1" ref="C143" ca="1">_xll.VoseSimValue(MortgageOut,57)</f>
        <v>9.1240149340766477E-2</v>
      </c>
    </row>
    <row r="144" spans="2:3" hidden="1" outlineLevel="1" x14ac:dyDescent="0.45">
      <c r="B144" s="46" cm="1">
        <f t="array" aca="1" ref="B144" ca="1">_xll.VoseSimValue(InterestOut,58)</f>
        <v>3.7491185494053329E-2</v>
      </c>
      <c r="C144" s="46" cm="1">
        <f t="array" aca="1" ref="C144" ca="1">_xll.VoseSimValue(MortgageOut,58)</f>
        <v>9.4292151480721426E-2</v>
      </c>
    </row>
    <row r="145" spans="2:3" hidden="1" outlineLevel="1" x14ac:dyDescent="0.45">
      <c r="B145" s="46" cm="1">
        <f t="array" aca="1" ref="B145" ca="1">_xll.VoseSimValue(InterestOut,59)</f>
        <v>6.3392638261468626E-2</v>
      </c>
      <c r="C145" s="46" cm="1">
        <f t="array" aca="1" ref="C145" ca="1">_xll.VoseSimValue(MortgageOut,59)</f>
        <v>0.13272742093093959</v>
      </c>
    </row>
    <row r="146" spans="2:3" hidden="1" outlineLevel="1" x14ac:dyDescent="0.45">
      <c r="B146" s="46" cm="1">
        <f t="array" aca="1" ref="B146" ca="1">_xll.VoseSimValue(InterestOut,60)</f>
        <v>5.5962210321813186E-2</v>
      </c>
      <c r="C146" s="46" cm="1">
        <f t="array" aca="1" ref="C146" ca="1">_xll.VoseSimValue(MortgageOut,60)</f>
        <v>8.9506105007200826E-2</v>
      </c>
    </row>
    <row r="147" spans="2:3" hidden="1" outlineLevel="1" x14ac:dyDescent="0.45">
      <c r="B147" s="46" cm="1">
        <f t="array" aca="1" ref="B147" ca="1">_xll.VoseSimValue(InterestOut,61)</f>
        <v>3.936075880092748E-2</v>
      </c>
      <c r="C147" s="46" cm="1">
        <f t="array" aca="1" ref="C147" ca="1">_xll.VoseSimValue(MortgageOut,61)</f>
        <v>0.10726897400156074</v>
      </c>
    </row>
    <row r="148" spans="2:3" hidden="1" outlineLevel="1" x14ac:dyDescent="0.45">
      <c r="B148" s="46" cm="1">
        <f t="array" aca="1" ref="B148" ca="1">_xll.VoseSimValue(InterestOut,62)</f>
        <v>5.3768201781880631E-2</v>
      </c>
      <c r="C148" s="46" cm="1">
        <f t="array" aca="1" ref="C148" ca="1">_xll.VoseSimValue(MortgageOut,62)</f>
        <v>9.5462115653661347E-2</v>
      </c>
    </row>
    <row r="149" spans="2:3" hidden="1" outlineLevel="1" x14ac:dyDescent="0.45">
      <c r="B149" s="46" cm="1">
        <f t="array" aca="1" ref="B149" ca="1">_xll.VoseSimValue(InterestOut,63)</f>
        <v>4.9202568943766331E-2</v>
      </c>
      <c r="C149" s="46" cm="1">
        <f t="array" aca="1" ref="C149" ca="1">_xll.VoseSimValue(MortgageOut,63)</f>
        <v>0.10677172299140021</v>
      </c>
    </row>
    <row r="150" spans="2:3" hidden="1" outlineLevel="1" x14ac:dyDescent="0.45">
      <c r="B150" s="46" cm="1">
        <f t="array" aca="1" ref="B150" ca="1">_xll.VoseSimValue(InterestOut,64)</f>
        <v>5.5995325144422098E-2</v>
      </c>
      <c r="C150" s="46" cm="1">
        <f t="array" aca="1" ref="C150" ca="1">_xll.VoseSimValue(MortgageOut,64)</f>
        <v>0.10408798226375517</v>
      </c>
    </row>
    <row r="151" spans="2:3" hidden="1" outlineLevel="1" x14ac:dyDescent="0.45">
      <c r="B151" s="46" cm="1">
        <f t="array" aca="1" ref="B151" ca="1">_xll.VoseSimValue(InterestOut,65)</f>
        <v>6.8396620122530671E-2</v>
      </c>
      <c r="C151" s="46" cm="1">
        <f t="array" aca="1" ref="C151" ca="1">_xll.VoseSimValue(MortgageOut,65)</f>
        <v>0.1358465980448933</v>
      </c>
    </row>
    <row r="152" spans="2:3" hidden="1" outlineLevel="1" x14ac:dyDescent="0.45">
      <c r="B152" s="46" cm="1">
        <f t="array" aca="1" ref="B152" ca="1">_xll.VoseSimValue(InterestOut,66)</f>
        <v>4.8957553285945421E-2</v>
      </c>
      <c r="C152" s="46" cm="1">
        <f t="array" aca="1" ref="C152" ca="1">_xll.VoseSimValue(MortgageOut,66)</f>
        <v>0.11079419575209375</v>
      </c>
    </row>
    <row r="153" spans="2:3" hidden="1" outlineLevel="1" x14ac:dyDescent="0.45">
      <c r="B153" s="46" cm="1">
        <f t="array" aca="1" ref="B153" ca="1">_xll.VoseSimValue(InterestOut,67)</f>
        <v>5.2151534112082995E-2</v>
      </c>
      <c r="C153" s="46" cm="1">
        <f t="array" aca="1" ref="C153" ca="1">_xll.VoseSimValue(MortgageOut,67)</f>
        <v>0.11584771074413877</v>
      </c>
    </row>
    <row r="154" spans="2:3" hidden="1" outlineLevel="1" x14ac:dyDescent="0.45">
      <c r="B154" s="46" cm="1">
        <f t="array" aca="1" ref="B154" ca="1">_xll.VoseSimValue(InterestOut,68)</f>
        <v>4.2937321351218881E-2</v>
      </c>
      <c r="C154" s="46" cm="1">
        <f t="array" aca="1" ref="C154" ca="1">_xll.VoseSimValue(MortgageOut,68)</f>
        <v>9.2517167336863229E-2</v>
      </c>
    </row>
    <row r="155" spans="2:3" hidden="1" outlineLevel="1" x14ac:dyDescent="0.45">
      <c r="B155" s="46" cm="1">
        <f t="array" aca="1" ref="B155" ca="1">_xll.VoseSimValue(InterestOut,69)</f>
        <v>5.6597570956328287E-2</v>
      </c>
      <c r="C155" s="46" cm="1">
        <f t="array" aca="1" ref="C155" ca="1">_xll.VoseSimValue(MortgageOut,69)</f>
        <v>0.10628688552552318</v>
      </c>
    </row>
    <row r="156" spans="2:3" hidden="1" outlineLevel="1" x14ac:dyDescent="0.45">
      <c r="B156" s="46" cm="1">
        <f t="array" aca="1" ref="B156" ca="1">_xll.VoseSimValue(InterestOut,70)</f>
        <v>4.5663355779551051E-2</v>
      </c>
      <c r="C156" s="46" cm="1">
        <f t="array" aca="1" ref="C156" ca="1">_xll.VoseSimValue(MortgageOut,70)</f>
        <v>9.6165650140559916E-2</v>
      </c>
    </row>
    <row r="157" spans="2:3" hidden="1" outlineLevel="1" x14ac:dyDescent="0.45">
      <c r="B157" s="46" cm="1">
        <f t="array" aca="1" ref="B157" ca="1">_xll.VoseSimValue(InterestOut,71)</f>
        <v>4.638113765279827E-2</v>
      </c>
      <c r="C157" s="46" cm="1">
        <f t="array" aca="1" ref="C157" ca="1">_xll.VoseSimValue(MortgageOut,71)</f>
        <v>8.6006845967475321E-2</v>
      </c>
    </row>
    <row r="158" spans="2:3" hidden="1" outlineLevel="1" x14ac:dyDescent="0.45">
      <c r="B158" s="46" cm="1">
        <f t="array" aca="1" ref="B158" ca="1">_xll.VoseSimValue(InterestOut,72)</f>
        <v>4.1069873100057816E-2</v>
      </c>
      <c r="C158" s="46" cm="1">
        <f t="array" aca="1" ref="C158" ca="1">_xll.VoseSimValue(MortgageOut,72)</f>
        <v>9.0834753903454302E-2</v>
      </c>
    </row>
    <row r="159" spans="2:3" hidden="1" outlineLevel="1" x14ac:dyDescent="0.45">
      <c r="B159" s="46" cm="1">
        <f t="array" aca="1" ref="B159" ca="1">_xll.VoseSimValue(InterestOut,73)</f>
        <v>5.6436020474488299E-2</v>
      </c>
      <c r="C159" s="46" cm="1">
        <f t="array" aca="1" ref="C159" ca="1">_xll.VoseSimValue(MortgageOut,73)</f>
        <v>0.11410874719726807</v>
      </c>
    </row>
    <row r="160" spans="2:3" hidden="1" outlineLevel="1" x14ac:dyDescent="0.45">
      <c r="B160" s="46" cm="1">
        <f t="array" aca="1" ref="B160" ca="1">_xll.VoseSimValue(InterestOut,74)</f>
        <v>5.9559673014021944E-2</v>
      </c>
      <c r="C160" s="46" cm="1">
        <f t="array" aca="1" ref="C160" ca="1">_xll.VoseSimValue(MortgageOut,74)</f>
        <v>0.12177921044530278</v>
      </c>
    </row>
    <row r="161" spans="2:3" hidden="1" outlineLevel="1" x14ac:dyDescent="0.45">
      <c r="B161" s="46" cm="1">
        <f t="array" aca="1" ref="B161" ca="1">_xll.VoseSimValue(InterestOut,75)</f>
        <v>6.1489371595022151E-2</v>
      </c>
      <c r="C161" s="46" cm="1">
        <f t="array" aca="1" ref="C161" ca="1">_xll.VoseSimValue(MortgageOut,75)</f>
        <v>0.11649433967754819</v>
      </c>
    </row>
    <row r="162" spans="2:3" hidden="1" outlineLevel="1" x14ac:dyDescent="0.45">
      <c r="B162" s="46" cm="1">
        <f t="array" aca="1" ref="B162" ca="1">_xll.VoseSimValue(InterestOut,76)</f>
        <v>4.8977310561303861E-2</v>
      </c>
      <c r="C162" s="46" cm="1">
        <f t="array" aca="1" ref="C162" ca="1">_xll.VoseSimValue(MortgageOut,76)</f>
        <v>0.10773190113025494</v>
      </c>
    </row>
    <row r="163" spans="2:3" hidden="1" outlineLevel="1" x14ac:dyDescent="0.45">
      <c r="B163" s="46" cm="1">
        <f t="array" aca="1" ref="B163" ca="1">_xll.VoseSimValue(InterestOut,77)</f>
        <v>3.4569972139296495E-2</v>
      </c>
      <c r="C163" s="46" cm="1">
        <f t="array" aca="1" ref="C163" ca="1">_xll.VoseSimValue(MortgageOut,77)</f>
        <v>8.2248542998295926E-2</v>
      </c>
    </row>
    <row r="164" spans="2:3" hidden="1" outlineLevel="1" x14ac:dyDescent="0.45">
      <c r="B164" s="46" cm="1">
        <f t="array" aca="1" ref="B164" ca="1">_xll.VoseSimValue(InterestOut,78)</f>
        <v>3.5925680751159539E-2</v>
      </c>
      <c r="C164" s="46" cm="1">
        <f t="array" aca="1" ref="C164" ca="1">_xll.VoseSimValue(MortgageOut,78)</f>
        <v>7.141936126498219E-2</v>
      </c>
    </row>
    <row r="165" spans="2:3" hidden="1" outlineLevel="1" x14ac:dyDescent="0.45">
      <c r="B165" s="46" cm="1">
        <f t="array" aca="1" ref="B165" ca="1">_xll.VoseSimValue(InterestOut,79)</f>
        <v>5.8430324831753977E-2</v>
      </c>
      <c r="C165" s="46" cm="1">
        <f t="array" aca="1" ref="C165" ca="1">_xll.VoseSimValue(MortgageOut,79)</f>
        <v>0.10315408089721678</v>
      </c>
    </row>
    <row r="166" spans="2:3" hidden="1" outlineLevel="1" x14ac:dyDescent="0.45">
      <c r="B166" s="46" cm="1">
        <f t="array" aca="1" ref="B166" ca="1">_xll.VoseSimValue(InterestOut,80)</f>
        <v>5.4627621244857566E-2</v>
      </c>
      <c r="C166" s="46" cm="1">
        <f t="array" aca="1" ref="C166" ca="1">_xll.VoseSimValue(MortgageOut,80)</f>
        <v>0.10242327319991529</v>
      </c>
    </row>
    <row r="167" spans="2:3" hidden="1" outlineLevel="1" x14ac:dyDescent="0.45">
      <c r="B167" s="46" cm="1">
        <f t="array" aca="1" ref="B167" ca="1">_xll.VoseSimValue(InterestOut,81)</f>
        <v>7.2415863743570813E-2</v>
      </c>
      <c r="C167" s="46" cm="1">
        <f t="array" aca="1" ref="C167" ca="1">_xll.VoseSimValue(MortgageOut,81)</f>
        <v>0.12237795692552622</v>
      </c>
    </row>
    <row r="168" spans="2:3" hidden="1" outlineLevel="1" x14ac:dyDescent="0.45">
      <c r="B168" s="46" cm="1">
        <f t="array" aca="1" ref="B168" ca="1">_xll.VoseSimValue(InterestOut,82)</f>
        <v>5.5673059001754316E-2</v>
      </c>
      <c r="C168" s="46" cm="1">
        <f t="array" aca="1" ref="C168" ca="1">_xll.VoseSimValue(MortgageOut,82)</f>
        <v>0.11065506109371319</v>
      </c>
    </row>
    <row r="169" spans="2:3" hidden="1" outlineLevel="1" x14ac:dyDescent="0.45">
      <c r="B169" s="46" cm="1">
        <f t="array" aca="1" ref="B169" ca="1">_xll.VoseSimValue(InterestOut,83)</f>
        <v>5.8365221554226188E-2</v>
      </c>
      <c r="C169" s="46" cm="1">
        <f t="array" aca="1" ref="C169" ca="1">_xll.VoseSimValue(MortgageOut,83)</f>
        <v>0.11073735556440129</v>
      </c>
    </row>
    <row r="170" spans="2:3" hidden="1" outlineLevel="1" x14ac:dyDescent="0.45">
      <c r="B170" s="46" cm="1">
        <f t="array" aca="1" ref="B170" ca="1">_xll.VoseSimValue(InterestOut,84)</f>
        <v>4.5910905265858289E-2</v>
      </c>
      <c r="C170" s="46" cm="1">
        <f t="array" aca="1" ref="C170" ca="1">_xll.VoseSimValue(MortgageOut,84)</f>
        <v>0.10525155673851616</v>
      </c>
    </row>
    <row r="171" spans="2:3" hidden="1" outlineLevel="1" x14ac:dyDescent="0.45">
      <c r="B171" s="46" cm="1">
        <f t="array" aca="1" ref="B171" ca="1">_xll.VoseSimValue(InterestOut,85)</f>
        <v>4.5404767033535992E-2</v>
      </c>
      <c r="C171" s="46" cm="1">
        <f t="array" aca="1" ref="C171" ca="1">_xll.VoseSimValue(MortgageOut,85)</f>
        <v>9.1560507296025245E-2</v>
      </c>
    </row>
    <row r="172" spans="2:3" hidden="1" outlineLevel="1" x14ac:dyDescent="0.45">
      <c r="B172" s="46" cm="1">
        <f t="array" aca="1" ref="B172" ca="1">_xll.VoseSimValue(InterestOut,86)</f>
        <v>4.9859203389088419E-2</v>
      </c>
      <c r="C172" s="46" cm="1">
        <f t="array" aca="1" ref="C172" ca="1">_xll.VoseSimValue(MortgageOut,86)</f>
        <v>0.10572326006397922</v>
      </c>
    </row>
    <row r="173" spans="2:3" hidden="1" outlineLevel="1" x14ac:dyDescent="0.45">
      <c r="B173" s="46" cm="1">
        <f t="array" aca="1" ref="B173" ca="1">_xll.VoseSimValue(InterestOut,87)</f>
        <v>5.9771276160199852E-2</v>
      </c>
      <c r="C173" s="46" cm="1">
        <f t="array" aca="1" ref="C173" ca="1">_xll.VoseSimValue(MortgageOut,87)</f>
        <v>0.10673923766455673</v>
      </c>
    </row>
    <row r="174" spans="2:3" hidden="1" outlineLevel="1" x14ac:dyDescent="0.45">
      <c r="B174" s="46" cm="1">
        <f t="array" aca="1" ref="B174" ca="1">_xll.VoseSimValue(InterestOut,88)</f>
        <v>4.369946305717462E-2</v>
      </c>
      <c r="C174" s="46" cm="1">
        <f t="array" aca="1" ref="C174" ca="1">_xll.VoseSimValue(MortgageOut,88)</f>
        <v>8.7729455155609162E-2</v>
      </c>
    </row>
    <row r="175" spans="2:3" hidden="1" outlineLevel="1" x14ac:dyDescent="0.45">
      <c r="B175" s="46" cm="1">
        <f t="array" aca="1" ref="B175" ca="1">_xll.VoseSimValue(InterestOut,89)</f>
        <v>3.9566403307189309E-2</v>
      </c>
      <c r="C175" s="46" cm="1">
        <f t="array" aca="1" ref="C175" ca="1">_xll.VoseSimValue(MortgageOut,89)</f>
        <v>9.0242335859947051E-2</v>
      </c>
    </row>
    <row r="176" spans="2:3" hidden="1" outlineLevel="1" x14ac:dyDescent="0.45">
      <c r="B176" s="46" cm="1">
        <f t="array" aca="1" ref="B176" ca="1">_xll.VoseSimValue(InterestOut,90)</f>
        <v>3.8221473040526359E-2</v>
      </c>
      <c r="C176" s="46" cm="1">
        <f t="array" aca="1" ref="C176" ca="1">_xll.VoseSimValue(MortgageOut,90)</f>
        <v>9.3491231944268657E-2</v>
      </c>
    </row>
    <row r="177" spans="2:3" hidden="1" outlineLevel="1" x14ac:dyDescent="0.45">
      <c r="B177" s="46" cm="1">
        <f t="array" aca="1" ref="B177" ca="1">_xll.VoseSimValue(InterestOut,91)</f>
        <v>4.990531771934785E-2</v>
      </c>
      <c r="C177" s="46" cm="1">
        <f t="array" aca="1" ref="C177" ca="1">_xll.VoseSimValue(MortgageOut,91)</f>
        <v>0.11385473890304161</v>
      </c>
    </row>
    <row r="178" spans="2:3" hidden="1" outlineLevel="1" x14ac:dyDescent="0.45">
      <c r="B178" s="46" cm="1">
        <f t="array" aca="1" ref="B178" ca="1">_xll.VoseSimValue(InterestOut,92)</f>
        <v>5.0464981320151286E-2</v>
      </c>
      <c r="C178" s="46" cm="1">
        <f t="array" aca="1" ref="C178" ca="1">_xll.VoseSimValue(MortgageOut,92)</f>
        <v>0.1078999209120378</v>
      </c>
    </row>
    <row r="179" spans="2:3" hidden="1" outlineLevel="1" x14ac:dyDescent="0.45">
      <c r="B179" s="46" cm="1">
        <f t="array" aca="1" ref="B179" ca="1">_xll.VoseSimValue(InterestOut,93)</f>
        <v>6.4965686294495228E-2</v>
      </c>
      <c r="C179" s="46" cm="1">
        <f t="array" aca="1" ref="C179" ca="1">_xll.VoseSimValue(MortgageOut,93)</f>
        <v>0.12081150362033259</v>
      </c>
    </row>
    <row r="180" spans="2:3" hidden="1" outlineLevel="1" x14ac:dyDescent="0.45">
      <c r="B180" s="46" cm="1">
        <f t="array" aca="1" ref="B180" ca="1">_xll.VoseSimValue(InterestOut,94)</f>
        <v>3.9267569764450873E-2</v>
      </c>
      <c r="C180" s="46" cm="1">
        <f t="array" aca="1" ref="C180" ca="1">_xll.VoseSimValue(MortgageOut,94)</f>
        <v>0.10130321752259633</v>
      </c>
    </row>
    <row r="181" spans="2:3" hidden="1" outlineLevel="1" x14ac:dyDescent="0.45">
      <c r="B181" s="46" cm="1">
        <f t="array" aca="1" ref="B181" ca="1">_xll.VoseSimValue(InterestOut,95)</f>
        <v>4.577484905032899E-2</v>
      </c>
      <c r="C181" s="46" cm="1">
        <f t="array" aca="1" ref="C181" ca="1">_xll.VoseSimValue(MortgageOut,95)</f>
        <v>9.2371034553210232E-2</v>
      </c>
    </row>
    <row r="182" spans="2:3" hidden="1" outlineLevel="1" x14ac:dyDescent="0.45">
      <c r="B182" s="46" cm="1">
        <f t="array" aca="1" ref="B182" ca="1">_xll.VoseSimValue(InterestOut,96)</f>
        <v>6.4676308085804907E-2</v>
      </c>
      <c r="C182" s="46" cm="1">
        <f t="array" aca="1" ref="C182" ca="1">_xll.VoseSimValue(MortgageOut,96)</f>
        <v>0.12799768767806724</v>
      </c>
    </row>
    <row r="183" spans="2:3" hidden="1" outlineLevel="1" x14ac:dyDescent="0.45">
      <c r="B183" s="46" cm="1">
        <f t="array" aca="1" ref="B183" ca="1">_xll.VoseSimValue(InterestOut,97)</f>
        <v>4.5611332894319179E-2</v>
      </c>
      <c r="C183" s="46" cm="1">
        <f t="array" aca="1" ref="C183" ca="1">_xll.VoseSimValue(MortgageOut,97)</f>
        <v>9.203695417150097E-2</v>
      </c>
    </row>
    <row r="184" spans="2:3" hidden="1" outlineLevel="1" x14ac:dyDescent="0.45">
      <c r="B184" s="46" cm="1">
        <f t="array" aca="1" ref="B184" ca="1">_xll.VoseSimValue(InterestOut,98)</f>
        <v>4.0221470327401546E-2</v>
      </c>
      <c r="C184" s="46" cm="1">
        <f t="array" aca="1" ref="C184" ca="1">_xll.VoseSimValue(MortgageOut,98)</f>
        <v>8.8887444839662197E-2</v>
      </c>
    </row>
    <row r="185" spans="2:3" hidden="1" outlineLevel="1" x14ac:dyDescent="0.45">
      <c r="B185" s="46" cm="1">
        <f t="array" aca="1" ref="B185" ca="1">_xll.VoseSimValue(InterestOut,99)</f>
        <v>4.0624572616726522E-2</v>
      </c>
      <c r="C185" s="46" cm="1">
        <f t="array" aca="1" ref="C185" ca="1">_xll.VoseSimValue(MortgageOut,99)</f>
        <v>9.136246427377788E-2</v>
      </c>
    </row>
    <row r="186" spans="2:3" hidden="1" outlineLevel="1" x14ac:dyDescent="0.45">
      <c r="B186" s="46" cm="1">
        <f t="array" aca="1" ref="B186" ca="1">_xll.VoseSimValue(InterestOut,100)</f>
        <v>5.1929215528767239E-2</v>
      </c>
      <c r="C186" s="46" cm="1">
        <f t="array" aca="1" ref="C186" ca="1">_xll.VoseSimValue(MortgageOut,100)</f>
        <v>9.0369125802758632E-2</v>
      </c>
    </row>
    <row r="187" spans="2:3" hidden="1" outlineLevel="1" x14ac:dyDescent="0.45">
      <c r="B187" s="46" cm="1">
        <f t="array" aca="1" ref="B187" ca="1">_xll.VoseSimValue(InterestOut,101)</f>
        <v>3.4679039997674424E-2</v>
      </c>
      <c r="C187" s="46" cm="1">
        <f t="array" aca="1" ref="C187" ca="1">_xll.VoseSimValue(MortgageOut,101)</f>
        <v>7.8299539125999351E-2</v>
      </c>
    </row>
    <row r="188" spans="2:3" hidden="1" outlineLevel="1" x14ac:dyDescent="0.45">
      <c r="B188" s="46" cm="1">
        <f t="array" aca="1" ref="B188" ca="1">_xll.VoseSimValue(InterestOut,102)</f>
        <v>3.8708999215284409E-2</v>
      </c>
      <c r="C188" s="46" cm="1">
        <f t="array" aca="1" ref="C188" ca="1">_xll.VoseSimValue(MortgageOut,102)</f>
        <v>9.6967627132003339E-2</v>
      </c>
    </row>
    <row r="189" spans="2:3" hidden="1" outlineLevel="1" x14ac:dyDescent="0.45">
      <c r="B189" s="46" cm="1">
        <f t="array" aca="1" ref="B189" ca="1">_xll.VoseSimValue(InterestOut,103)</f>
        <v>5.6207523888816002E-2</v>
      </c>
      <c r="C189" s="46" cm="1">
        <f t="array" aca="1" ref="C189" ca="1">_xll.VoseSimValue(MortgageOut,103)</f>
        <v>0.10014387568120925</v>
      </c>
    </row>
    <row r="190" spans="2:3" hidden="1" outlineLevel="1" x14ac:dyDescent="0.45">
      <c r="B190" s="46" cm="1">
        <f t="array" aca="1" ref="B190" ca="1">_xll.VoseSimValue(InterestOut,104)</f>
        <v>6.5443999900598515E-2</v>
      </c>
      <c r="C190" s="46" cm="1">
        <f t="array" aca="1" ref="C190" ca="1">_xll.VoseSimValue(MortgageOut,104)</f>
        <v>0.1018789808750214</v>
      </c>
    </row>
    <row r="191" spans="2:3" hidden="1" outlineLevel="1" x14ac:dyDescent="0.45">
      <c r="B191" s="46" cm="1">
        <f t="array" aca="1" ref="B191" ca="1">_xll.VoseSimValue(InterestOut,105)</f>
        <v>4.3377785506310773E-2</v>
      </c>
      <c r="C191" s="46" cm="1">
        <f t="array" aca="1" ref="C191" ca="1">_xll.VoseSimValue(MortgageOut,105)</f>
        <v>9.5957175274336726E-2</v>
      </c>
    </row>
    <row r="192" spans="2:3" hidden="1" outlineLevel="1" x14ac:dyDescent="0.45">
      <c r="B192" s="46" cm="1">
        <f t="array" aca="1" ref="B192" ca="1">_xll.VoseSimValue(InterestOut,106)</f>
        <v>6.5070617026444649E-2</v>
      </c>
      <c r="C192" s="46" cm="1">
        <f t="array" aca="1" ref="C192" ca="1">_xll.VoseSimValue(MortgageOut,106)</f>
        <v>0.12959943833998686</v>
      </c>
    </row>
    <row r="193" spans="2:3" hidden="1" outlineLevel="1" x14ac:dyDescent="0.45">
      <c r="B193" s="46" cm="1">
        <f t="array" aca="1" ref="B193" ca="1">_xll.VoseSimValue(InterestOut,107)</f>
        <v>4.4980349190982503E-2</v>
      </c>
      <c r="C193" s="46" cm="1">
        <f t="array" aca="1" ref="C193" ca="1">_xll.VoseSimValue(MortgageOut,107)</f>
        <v>8.4394825136347218E-2</v>
      </c>
    </row>
    <row r="194" spans="2:3" hidden="1" outlineLevel="1" x14ac:dyDescent="0.45">
      <c r="B194" s="46" cm="1">
        <f t="array" aca="1" ref="B194" ca="1">_xll.VoseSimValue(InterestOut,108)</f>
        <v>4.5922997782372021E-2</v>
      </c>
      <c r="C194" s="46" cm="1">
        <f t="array" aca="1" ref="C194" ca="1">_xll.VoseSimValue(MortgageOut,108)</f>
        <v>0.10362286058367544</v>
      </c>
    </row>
    <row r="195" spans="2:3" hidden="1" outlineLevel="1" x14ac:dyDescent="0.45">
      <c r="B195" s="46" cm="1">
        <f t="array" aca="1" ref="B195" ca="1">_xll.VoseSimValue(InterestOut,109)</f>
        <v>5.1051644776888158E-2</v>
      </c>
      <c r="C195" s="46" cm="1">
        <f t="array" aca="1" ref="C195" ca="1">_xll.VoseSimValue(MortgageOut,109)</f>
        <v>0.1035499586240119</v>
      </c>
    </row>
    <row r="196" spans="2:3" hidden="1" outlineLevel="1" x14ac:dyDescent="0.45">
      <c r="B196" s="46" cm="1">
        <f t="array" aca="1" ref="B196" ca="1">_xll.VoseSimValue(InterestOut,110)</f>
        <v>5.3530726095567534E-2</v>
      </c>
      <c r="C196" s="46" cm="1">
        <f t="array" aca="1" ref="C196" ca="1">_xll.VoseSimValue(MortgageOut,110)</f>
        <v>0.10511135292378943</v>
      </c>
    </row>
    <row r="197" spans="2:3" hidden="1" outlineLevel="1" x14ac:dyDescent="0.45">
      <c r="B197" s="46" cm="1">
        <f t="array" aca="1" ref="B197" ca="1">_xll.VoseSimValue(InterestOut,111)</f>
        <v>3.7161176306201187E-2</v>
      </c>
      <c r="C197" s="46" cm="1">
        <f t="array" aca="1" ref="C197" ca="1">_xll.VoseSimValue(MortgageOut,111)</f>
        <v>8.5183286038132994E-2</v>
      </c>
    </row>
    <row r="198" spans="2:3" hidden="1" outlineLevel="1" x14ac:dyDescent="0.45">
      <c r="B198" s="46" cm="1">
        <f t="array" aca="1" ref="B198" ca="1">_xll.VoseSimValue(InterestOut,112)</f>
        <v>5.302912059322671E-2</v>
      </c>
      <c r="C198" s="46" cm="1">
        <f t="array" aca="1" ref="C198" ca="1">_xll.VoseSimValue(MortgageOut,112)</f>
        <v>0.10219909529706189</v>
      </c>
    </row>
    <row r="199" spans="2:3" hidden="1" outlineLevel="1" x14ac:dyDescent="0.45">
      <c r="B199" s="46" cm="1">
        <f t="array" aca="1" ref="B199" ca="1">_xll.VoseSimValue(InterestOut,113)</f>
        <v>5.3251227992995157E-2</v>
      </c>
      <c r="C199" s="46" cm="1">
        <f t="array" aca="1" ref="C199" ca="1">_xll.VoseSimValue(MortgageOut,113)</f>
        <v>0.11232244593323053</v>
      </c>
    </row>
    <row r="200" spans="2:3" hidden="1" outlineLevel="1" x14ac:dyDescent="0.45">
      <c r="B200" s="46" cm="1">
        <f t="array" aca="1" ref="B200" ca="1">_xll.VoseSimValue(InterestOut,114)</f>
        <v>5.4345313767593835E-2</v>
      </c>
      <c r="C200" s="46" cm="1">
        <f t="array" aca="1" ref="C200" ca="1">_xll.VoseSimValue(MortgageOut,114)</f>
        <v>0.10793737725516883</v>
      </c>
    </row>
    <row r="201" spans="2:3" hidden="1" outlineLevel="1" x14ac:dyDescent="0.45">
      <c r="B201" s="46" cm="1">
        <f t="array" aca="1" ref="B201" ca="1">_xll.VoseSimValue(InterestOut,115)</f>
        <v>4.1235286528799819E-2</v>
      </c>
      <c r="C201" s="46" cm="1">
        <f t="array" aca="1" ref="C201" ca="1">_xll.VoseSimValue(MortgageOut,115)</f>
        <v>9.9650955605655345E-2</v>
      </c>
    </row>
    <row r="202" spans="2:3" hidden="1" outlineLevel="1" x14ac:dyDescent="0.45">
      <c r="B202" s="46" cm="1">
        <f t="array" aca="1" ref="B202" ca="1">_xll.VoseSimValue(InterestOut,116)</f>
        <v>6.8275654070123204E-2</v>
      </c>
      <c r="C202" s="46" cm="1">
        <f t="array" aca="1" ref="C202" ca="1">_xll.VoseSimValue(MortgageOut,116)</f>
        <v>0.12010648259617236</v>
      </c>
    </row>
    <row r="203" spans="2:3" hidden="1" outlineLevel="1" x14ac:dyDescent="0.45">
      <c r="B203" s="46" cm="1">
        <f t="array" aca="1" ref="B203" ca="1">_xll.VoseSimValue(InterestOut,117)</f>
        <v>5.3665127460621423E-2</v>
      </c>
      <c r="C203" s="46" cm="1">
        <f t="array" aca="1" ref="C203" ca="1">_xll.VoseSimValue(MortgageOut,117)</f>
        <v>0.11226628265541666</v>
      </c>
    </row>
    <row r="204" spans="2:3" hidden="1" outlineLevel="1" x14ac:dyDescent="0.45">
      <c r="B204" s="46" cm="1">
        <f t="array" aca="1" ref="B204" ca="1">_xll.VoseSimValue(InterestOut,118)</f>
        <v>4.4848857456537862E-2</v>
      </c>
      <c r="C204" s="46" cm="1">
        <f t="array" aca="1" ref="C204" ca="1">_xll.VoseSimValue(MortgageOut,118)</f>
        <v>0.10593293230999218</v>
      </c>
    </row>
    <row r="205" spans="2:3" hidden="1" outlineLevel="1" x14ac:dyDescent="0.45">
      <c r="B205" s="46" cm="1">
        <f t="array" aca="1" ref="B205" ca="1">_xll.VoseSimValue(InterestOut,119)</f>
        <v>5.6836423026730407E-2</v>
      </c>
      <c r="C205" s="46" cm="1">
        <f t="array" aca="1" ref="C205" ca="1">_xll.VoseSimValue(MortgageOut,119)</f>
        <v>0.11562617257720867</v>
      </c>
    </row>
    <row r="206" spans="2:3" hidden="1" outlineLevel="1" x14ac:dyDescent="0.45">
      <c r="B206" s="46" cm="1">
        <f t="array" aca="1" ref="B206" ca="1">_xll.VoseSimValue(InterestOut,120)</f>
        <v>4.3967878086295167E-2</v>
      </c>
      <c r="C206" s="46" cm="1">
        <f t="array" aca="1" ref="C206" ca="1">_xll.VoseSimValue(MortgageOut,120)</f>
        <v>9.1406379215950545E-2</v>
      </c>
    </row>
    <row r="207" spans="2:3" hidden="1" outlineLevel="1" x14ac:dyDescent="0.45">
      <c r="B207" s="46" cm="1">
        <f t="array" aca="1" ref="B207" ca="1">_xll.VoseSimValue(InterestOut,121)</f>
        <v>3.9529169425366689E-2</v>
      </c>
      <c r="C207" s="46" cm="1">
        <f t="array" aca="1" ref="C207" ca="1">_xll.VoseSimValue(MortgageOut,121)</f>
        <v>8.8107910266151904E-2</v>
      </c>
    </row>
    <row r="208" spans="2:3" hidden="1" outlineLevel="1" x14ac:dyDescent="0.45">
      <c r="B208" s="46" cm="1">
        <f t="array" aca="1" ref="B208" ca="1">_xll.VoseSimValue(InterestOut,122)</f>
        <v>5.2159071749230027E-2</v>
      </c>
      <c r="C208" s="46" cm="1">
        <f t="array" aca="1" ref="C208" ca="1">_xll.VoseSimValue(MortgageOut,122)</f>
        <v>0.11577829492229189</v>
      </c>
    </row>
    <row r="209" spans="2:3" hidden="1" outlineLevel="1" x14ac:dyDescent="0.45">
      <c r="B209" s="46" cm="1">
        <f t="array" aca="1" ref="B209" ca="1">_xll.VoseSimValue(InterestOut,123)</f>
        <v>4.9017217023118689E-2</v>
      </c>
      <c r="C209" s="46" cm="1">
        <f t="array" aca="1" ref="C209" ca="1">_xll.VoseSimValue(MortgageOut,123)</f>
        <v>0.10644106631343164</v>
      </c>
    </row>
    <row r="210" spans="2:3" hidden="1" outlineLevel="1" x14ac:dyDescent="0.45">
      <c r="B210" s="46" cm="1">
        <f t="array" aca="1" ref="B210" ca="1">_xll.VoseSimValue(InterestOut,124)</f>
        <v>6.7717566356796613E-2</v>
      </c>
      <c r="C210" s="46" cm="1">
        <f t="array" aca="1" ref="C210" ca="1">_xll.VoseSimValue(MortgageOut,124)</f>
        <v>0.12055005014325906</v>
      </c>
    </row>
    <row r="211" spans="2:3" hidden="1" outlineLevel="1" x14ac:dyDescent="0.45">
      <c r="B211" s="46" cm="1">
        <f t="array" aca="1" ref="B211" ca="1">_xll.VoseSimValue(InterestOut,125)</f>
        <v>5.6673768079107442E-2</v>
      </c>
      <c r="C211" s="46" cm="1">
        <f t="array" aca="1" ref="C211" ca="1">_xll.VoseSimValue(MortgageOut,125)</f>
        <v>0.10521272991954407</v>
      </c>
    </row>
    <row r="212" spans="2:3" hidden="1" outlineLevel="1" x14ac:dyDescent="0.45">
      <c r="B212" s="46" cm="1">
        <f t="array" aca="1" ref="B212" ca="1">_xll.VoseSimValue(InterestOut,126)</f>
        <v>5.1090758807336809E-2</v>
      </c>
      <c r="C212" s="46" cm="1">
        <f t="array" aca="1" ref="C212" ca="1">_xll.VoseSimValue(MortgageOut,126)</f>
        <v>0.1051442892063334</v>
      </c>
    </row>
    <row r="213" spans="2:3" hidden="1" outlineLevel="1" x14ac:dyDescent="0.45">
      <c r="B213" s="46" cm="1">
        <f t="array" aca="1" ref="B213" ca="1">_xll.VoseSimValue(InterestOut,127)</f>
        <v>4.9020459276502379E-2</v>
      </c>
      <c r="C213" s="46" cm="1">
        <f t="array" aca="1" ref="C213" ca="1">_xll.VoseSimValue(MortgageOut,127)</f>
        <v>0.10378504576810643</v>
      </c>
    </row>
    <row r="214" spans="2:3" hidden="1" outlineLevel="1" x14ac:dyDescent="0.45">
      <c r="B214" s="46" cm="1">
        <f t="array" aca="1" ref="B214" ca="1">_xll.VoseSimValue(InterestOut,128)</f>
        <v>5.2349698524968152E-2</v>
      </c>
      <c r="C214" s="46" cm="1">
        <f t="array" aca="1" ref="C214" ca="1">_xll.VoseSimValue(MortgageOut,128)</f>
        <v>0.11531248305474601</v>
      </c>
    </row>
    <row r="215" spans="2:3" hidden="1" outlineLevel="1" x14ac:dyDescent="0.45">
      <c r="B215" s="46" cm="1">
        <f t="array" aca="1" ref="B215" ca="1">_xll.VoseSimValue(InterestOut,129)</f>
        <v>3.6961246488464571E-2</v>
      </c>
      <c r="C215" s="46" cm="1">
        <f t="array" aca="1" ref="C215" ca="1">_xll.VoseSimValue(MortgageOut,129)</f>
        <v>8.4046949695462891E-2</v>
      </c>
    </row>
    <row r="216" spans="2:3" hidden="1" outlineLevel="1" x14ac:dyDescent="0.45">
      <c r="B216" s="46" cm="1">
        <f t="array" aca="1" ref="B216" ca="1">_xll.VoseSimValue(InterestOut,130)</f>
        <v>5.8943306632096501E-2</v>
      </c>
      <c r="C216" s="46" cm="1">
        <f t="array" aca="1" ref="C216" ca="1">_xll.VoseSimValue(MortgageOut,130)</f>
        <v>0.11285218224027484</v>
      </c>
    </row>
    <row r="217" spans="2:3" hidden="1" outlineLevel="1" x14ac:dyDescent="0.45">
      <c r="B217" s="46" cm="1">
        <f t="array" aca="1" ref="B217" ca="1">_xll.VoseSimValue(InterestOut,131)</f>
        <v>5.2224257995227327E-2</v>
      </c>
      <c r="C217" s="46" cm="1">
        <f t="array" aca="1" ref="C217" ca="1">_xll.VoseSimValue(MortgageOut,131)</f>
        <v>0.10372526853967093</v>
      </c>
    </row>
    <row r="218" spans="2:3" hidden="1" outlineLevel="1" x14ac:dyDescent="0.45">
      <c r="B218" s="46" cm="1">
        <f t="array" aca="1" ref="B218" ca="1">_xll.VoseSimValue(InterestOut,132)</f>
        <v>3.6679397107174022E-2</v>
      </c>
      <c r="C218" s="46" cm="1">
        <f t="array" aca="1" ref="C218" ca="1">_xll.VoseSimValue(MortgageOut,132)</f>
        <v>7.8395111592338335E-2</v>
      </c>
    </row>
    <row r="219" spans="2:3" hidden="1" outlineLevel="1" x14ac:dyDescent="0.45">
      <c r="B219" s="46" cm="1">
        <f t="array" aca="1" ref="B219" ca="1">_xll.VoseSimValue(InterestOut,133)</f>
        <v>5.5765056802164897E-2</v>
      </c>
      <c r="C219" s="46" cm="1">
        <f t="array" aca="1" ref="C219" ca="1">_xll.VoseSimValue(MortgageOut,133)</f>
        <v>9.304916008460104E-2</v>
      </c>
    </row>
    <row r="220" spans="2:3" hidden="1" outlineLevel="1" x14ac:dyDescent="0.45">
      <c r="B220" s="46" cm="1">
        <f t="array" aca="1" ref="B220" ca="1">_xll.VoseSimValue(InterestOut,134)</f>
        <v>4.0991777200581538E-2</v>
      </c>
      <c r="C220" s="46" cm="1">
        <f t="array" aca="1" ref="C220" ca="1">_xll.VoseSimValue(MortgageOut,134)</f>
        <v>8.7829300538055627E-2</v>
      </c>
    </row>
    <row r="221" spans="2:3" hidden="1" outlineLevel="1" x14ac:dyDescent="0.45">
      <c r="B221" s="46" cm="1">
        <f t="array" aca="1" ref="B221" ca="1">_xll.VoseSimValue(InterestOut,135)</f>
        <v>5.1666650073676171E-2</v>
      </c>
      <c r="C221" s="46" cm="1">
        <f t="array" aca="1" ref="C221" ca="1">_xll.VoseSimValue(MortgageOut,135)</f>
        <v>9.7123345903060238E-2</v>
      </c>
    </row>
    <row r="222" spans="2:3" hidden="1" outlineLevel="1" x14ac:dyDescent="0.45">
      <c r="B222" s="46" cm="1">
        <f t="array" aca="1" ref="B222" ca="1">_xll.VoseSimValue(InterestOut,136)</f>
        <v>5.9883274683693873E-2</v>
      </c>
      <c r="C222" s="46" cm="1">
        <f t="array" aca="1" ref="C222" ca="1">_xll.VoseSimValue(MortgageOut,136)</f>
        <v>0.12285548039726189</v>
      </c>
    </row>
    <row r="223" spans="2:3" hidden="1" outlineLevel="1" x14ac:dyDescent="0.45">
      <c r="B223" s="46" cm="1">
        <f t="array" aca="1" ref="B223" ca="1">_xll.VoseSimValue(InterestOut,137)</f>
        <v>6.7298233899929769E-2</v>
      </c>
      <c r="C223" s="46" cm="1">
        <f t="array" aca="1" ref="C223" ca="1">_xll.VoseSimValue(MortgageOut,137)</f>
        <v>0.13962974608588324</v>
      </c>
    </row>
    <row r="224" spans="2:3" hidden="1" outlineLevel="1" x14ac:dyDescent="0.45">
      <c r="B224" s="46" cm="1">
        <f t="array" aca="1" ref="B224" ca="1">_xll.VoseSimValue(InterestOut,138)</f>
        <v>3.5595249698030448E-2</v>
      </c>
      <c r="C224" s="46" cm="1">
        <f t="array" aca="1" ref="C224" ca="1">_xll.VoseSimValue(MortgageOut,138)</f>
        <v>8.2369429675172398E-2</v>
      </c>
    </row>
    <row r="225" spans="2:3" hidden="1" outlineLevel="1" x14ac:dyDescent="0.45">
      <c r="B225" s="46" cm="1">
        <f t="array" aca="1" ref="B225" ca="1">_xll.VoseSimValue(InterestOut,139)</f>
        <v>5.3589884941023583E-2</v>
      </c>
      <c r="C225" s="46" cm="1">
        <f t="array" aca="1" ref="C225" ca="1">_xll.VoseSimValue(MortgageOut,139)</f>
        <v>9.8628891249146089E-2</v>
      </c>
    </row>
    <row r="226" spans="2:3" hidden="1" outlineLevel="1" x14ac:dyDescent="0.45">
      <c r="B226" s="46" cm="1">
        <f t="array" aca="1" ref="B226" ca="1">_xll.VoseSimValue(InterestOut,140)</f>
        <v>6.3633233843416181E-2</v>
      </c>
      <c r="C226" s="46" cm="1">
        <f t="array" aca="1" ref="C226" ca="1">_xll.VoseSimValue(MortgageOut,140)</f>
        <v>9.6241779140358683E-2</v>
      </c>
    </row>
    <row r="227" spans="2:3" hidden="1" outlineLevel="1" x14ac:dyDescent="0.45">
      <c r="B227" s="46" cm="1">
        <f t="array" aca="1" ref="B227" ca="1">_xll.VoseSimValue(InterestOut,141)</f>
        <v>6.4678038013544548E-2</v>
      </c>
      <c r="C227" s="46" cm="1">
        <f t="array" aca="1" ref="C227" ca="1">_xll.VoseSimValue(MortgageOut,141)</f>
        <v>0.12380489167048672</v>
      </c>
    </row>
    <row r="228" spans="2:3" hidden="1" outlineLevel="1" x14ac:dyDescent="0.45">
      <c r="B228" s="46" cm="1">
        <f t="array" aca="1" ref="B228" ca="1">_xll.VoseSimValue(InterestOut,142)</f>
        <v>5.2354708208693354E-2</v>
      </c>
      <c r="C228" s="46" cm="1">
        <f t="array" aca="1" ref="C228" ca="1">_xll.VoseSimValue(MortgageOut,142)</f>
        <v>0.10490064523924057</v>
      </c>
    </row>
    <row r="229" spans="2:3" hidden="1" outlineLevel="1" x14ac:dyDescent="0.45">
      <c r="B229" s="46" cm="1">
        <f t="array" aca="1" ref="B229" ca="1">_xll.VoseSimValue(InterestOut,143)</f>
        <v>4.0900803920063462E-2</v>
      </c>
      <c r="C229" s="46" cm="1">
        <f t="array" aca="1" ref="C229" ca="1">_xll.VoseSimValue(MortgageOut,143)</f>
        <v>9.6603859279679669E-2</v>
      </c>
    </row>
    <row r="230" spans="2:3" hidden="1" outlineLevel="1" x14ac:dyDescent="0.45">
      <c r="B230" s="46" cm="1">
        <f t="array" aca="1" ref="B230" ca="1">_xll.VoseSimValue(InterestOut,144)</f>
        <v>4.9907589504075735E-2</v>
      </c>
      <c r="C230" s="46" cm="1">
        <f t="array" aca="1" ref="C230" ca="1">_xll.VoseSimValue(MortgageOut,144)</f>
        <v>8.4737927613799266E-2</v>
      </c>
    </row>
    <row r="231" spans="2:3" hidden="1" outlineLevel="1" x14ac:dyDescent="0.45">
      <c r="B231" s="46" cm="1">
        <f t="array" aca="1" ref="B231" ca="1">_xll.VoseSimValue(InterestOut,145)</f>
        <v>4.0966660249415768E-2</v>
      </c>
      <c r="C231" s="46" cm="1">
        <f t="array" aca="1" ref="C231" ca="1">_xll.VoseSimValue(MortgageOut,145)</f>
        <v>9.8672839871967774E-2</v>
      </c>
    </row>
    <row r="232" spans="2:3" hidden="1" outlineLevel="1" x14ac:dyDescent="0.45">
      <c r="B232" s="46" cm="1">
        <f t="array" aca="1" ref="B232" ca="1">_xll.VoseSimValue(InterestOut,146)</f>
        <v>6.4083520234179236E-2</v>
      </c>
      <c r="C232" s="46" cm="1">
        <f t="array" aca="1" ref="C232" ca="1">_xll.VoseSimValue(MortgageOut,146)</f>
        <v>0.11752207802125705</v>
      </c>
    </row>
    <row r="233" spans="2:3" hidden="1" outlineLevel="1" x14ac:dyDescent="0.45">
      <c r="B233" s="46" cm="1">
        <f t="array" aca="1" ref="B233" ca="1">_xll.VoseSimValue(InterestOut,147)</f>
        <v>6.0432542347111602E-2</v>
      </c>
      <c r="C233" s="46" cm="1">
        <f t="array" aca="1" ref="C233" ca="1">_xll.VoseSimValue(MortgageOut,147)</f>
        <v>0.11299969598072915</v>
      </c>
    </row>
    <row r="234" spans="2:3" hidden="1" outlineLevel="1" x14ac:dyDescent="0.45">
      <c r="B234" s="46" cm="1">
        <f t="array" aca="1" ref="B234" ca="1">_xll.VoseSimValue(InterestOut,148)</f>
        <v>4.8053880006529021E-2</v>
      </c>
      <c r="C234" s="46" cm="1">
        <f t="array" aca="1" ref="C234" ca="1">_xll.VoseSimValue(MortgageOut,148)</f>
        <v>0.11432081002522812</v>
      </c>
    </row>
    <row r="235" spans="2:3" hidden="1" outlineLevel="1" x14ac:dyDescent="0.45">
      <c r="B235" s="46" cm="1">
        <f t="array" aca="1" ref="B235" ca="1">_xll.VoseSimValue(InterestOut,149)</f>
        <v>4.8585728987392975E-2</v>
      </c>
      <c r="C235" s="46" cm="1">
        <f t="array" aca="1" ref="C235" ca="1">_xll.VoseSimValue(MortgageOut,149)</f>
        <v>0.10395719767060305</v>
      </c>
    </row>
    <row r="236" spans="2:3" hidden="1" outlineLevel="1" x14ac:dyDescent="0.45">
      <c r="B236" s="46" cm="1">
        <f t="array" aca="1" ref="B236" ca="1">_xll.VoseSimValue(InterestOut,150)</f>
        <v>5.2291648821684536E-2</v>
      </c>
      <c r="C236" s="46" cm="1">
        <f t="array" aca="1" ref="C236" ca="1">_xll.VoseSimValue(MortgageOut,150)</f>
        <v>9.6520419711894179E-2</v>
      </c>
    </row>
    <row r="237" spans="2:3" hidden="1" outlineLevel="1" x14ac:dyDescent="0.45">
      <c r="B237" s="46" cm="1">
        <f t="array" aca="1" ref="B237" ca="1">_xll.VoseSimValue(InterestOut,151)</f>
        <v>4.1882833604912961E-2</v>
      </c>
      <c r="C237" s="46" cm="1">
        <f t="array" aca="1" ref="C237" ca="1">_xll.VoseSimValue(MortgageOut,151)</f>
        <v>8.0295717432833216E-2</v>
      </c>
    </row>
    <row r="238" spans="2:3" hidden="1" outlineLevel="1" x14ac:dyDescent="0.45">
      <c r="B238" s="46" cm="1">
        <f t="array" aca="1" ref="B238" ca="1">_xll.VoseSimValue(InterestOut,152)</f>
        <v>5.5431717362277755E-2</v>
      </c>
      <c r="C238" s="46" cm="1">
        <f t="array" aca="1" ref="C238" ca="1">_xll.VoseSimValue(MortgageOut,152)</f>
        <v>0.12337666850613141</v>
      </c>
    </row>
    <row r="239" spans="2:3" hidden="1" outlineLevel="1" x14ac:dyDescent="0.45">
      <c r="B239" s="46" cm="1">
        <f t="array" aca="1" ref="B239" ca="1">_xll.VoseSimValue(InterestOut,153)</f>
        <v>6.6103764726137396E-2</v>
      </c>
      <c r="C239" s="46" cm="1">
        <f t="array" aca="1" ref="C239" ca="1">_xll.VoseSimValue(MortgageOut,153)</f>
        <v>0.10307342917256782</v>
      </c>
    </row>
    <row r="240" spans="2:3" hidden="1" outlineLevel="1" x14ac:dyDescent="0.45">
      <c r="B240" s="46" cm="1">
        <f t="array" aca="1" ref="B240" ca="1">_xll.VoseSimValue(InterestOut,154)</f>
        <v>4.7619020755082016E-2</v>
      </c>
      <c r="C240" s="46" cm="1">
        <f t="array" aca="1" ref="C240" ca="1">_xll.VoseSimValue(MortgageOut,154)</f>
        <v>9.4103069871403391E-2</v>
      </c>
    </row>
    <row r="241" spans="2:3" hidden="1" outlineLevel="1" x14ac:dyDescent="0.45">
      <c r="B241" s="46" cm="1">
        <f t="array" aca="1" ref="B241" ca="1">_xll.VoseSimValue(InterestOut,155)</f>
        <v>4.7257131060984038E-2</v>
      </c>
      <c r="C241" s="46" cm="1">
        <f t="array" aca="1" ref="C241" ca="1">_xll.VoseSimValue(MortgageOut,155)</f>
        <v>9.1210064923601689E-2</v>
      </c>
    </row>
    <row r="242" spans="2:3" hidden="1" outlineLevel="1" x14ac:dyDescent="0.45">
      <c r="B242" s="46" cm="1">
        <f t="array" aca="1" ref="B242" ca="1">_xll.VoseSimValue(InterestOut,156)</f>
        <v>5.3166955148294878E-2</v>
      </c>
      <c r="C242" s="46" cm="1">
        <f t="array" aca="1" ref="C242" ca="1">_xll.VoseSimValue(MortgageOut,156)</f>
        <v>9.6235031801619852E-2</v>
      </c>
    </row>
    <row r="243" spans="2:3" hidden="1" outlineLevel="1" x14ac:dyDescent="0.45">
      <c r="B243" s="46" cm="1">
        <f t="array" aca="1" ref="B243" ca="1">_xll.VoseSimValue(InterestOut,157)</f>
        <v>5.8452349557322356E-2</v>
      </c>
      <c r="C243" s="46" cm="1">
        <f t="array" aca="1" ref="C243" ca="1">_xll.VoseSimValue(MortgageOut,157)</f>
        <v>0.10030688961097348</v>
      </c>
    </row>
    <row r="244" spans="2:3" hidden="1" outlineLevel="1" x14ac:dyDescent="0.45">
      <c r="B244" s="46" cm="1">
        <f t="array" aca="1" ref="B244" ca="1">_xll.VoseSimValue(InterestOut,158)</f>
        <v>5.5017743379647828E-2</v>
      </c>
      <c r="C244" s="46" cm="1">
        <f t="array" aca="1" ref="C244" ca="1">_xll.VoseSimValue(MortgageOut,158)</f>
        <v>0.12885968110117582</v>
      </c>
    </row>
    <row r="245" spans="2:3" hidden="1" outlineLevel="1" x14ac:dyDescent="0.45">
      <c r="B245" s="46" cm="1">
        <f t="array" aca="1" ref="B245" ca="1">_xll.VoseSimValue(InterestOut,159)</f>
        <v>5.7650797621234054E-2</v>
      </c>
      <c r="C245" s="46" cm="1">
        <f t="array" aca="1" ref="C245" ca="1">_xll.VoseSimValue(MortgageOut,159)</f>
        <v>9.7094519999128479E-2</v>
      </c>
    </row>
    <row r="246" spans="2:3" hidden="1" outlineLevel="1" x14ac:dyDescent="0.45">
      <c r="B246" s="46" cm="1">
        <f t="array" aca="1" ref="B246" ca="1">_xll.VoseSimValue(InterestOut,160)</f>
        <v>4.0484226372640549E-2</v>
      </c>
      <c r="C246" s="46" cm="1">
        <f t="array" aca="1" ref="C246" ca="1">_xll.VoseSimValue(MortgageOut,160)</f>
        <v>9.722997249004009E-2</v>
      </c>
    </row>
    <row r="247" spans="2:3" hidden="1" outlineLevel="1" x14ac:dyDescent="0.45">
      <c r="B247" s="46" cm="1">
        <f t="array" aca="1" ref="B247" ca="1">_xll.VoseSimValue(InterestOut,161)</f>
        <v>6.3642062555745949E-2</v>
      </c>
      <c r="C247" s="46" cm="1">
        <f t="array" aca="1" ref="C247" ca="1">_xll.VoseSimValue(MortgageOut,161)</f>
        <v>0.10407757598509212</v>
      </c>
    </row>
    <row r="248" spans="2:3" hidden="1" outlineLevel="1" x14ac:dyDescent="0.45">
      <c r="B248" s="46" cm="1">
        <f t="array" aca="1" ref="B248" ca="1">_xll.VoseSimValue(InterestOut,162)</f>
        <v>5.6547195511650147E-2</v>
      </c>
      <c r="C248" s="46" cm="1">
        <f t="array" aca="1" ref="C248" ca="1">_xll.VoseSimValue(MortgageOut,162)</f>
        <v>0.11734012268938615</v>
      </c>
    </row>
    <row r="249" spans="2:3" hidden="1" outlineLevel="1" x14ac:dyDescent="0.45">
      <c r="B249" s="46" cm="1">
        <f t="array" aca="1" ref="B249" ca="1">_xll.VoseSimValue(InterestOut,163)</f>
        <v>5.4617573051185711E-2</v>
      </c>
      <c r="C249" s="46" cm="1">
        <f t="array" aca="1" ref="C249" ca="1">_xll.VoseSimValue(MortgageOut,163)</f>
        <v>0.10927365292614855</v>
      </c>
    </row>
    <row r="250" spans="2:3" hidden="1" outlineLevel="1" x14ac:dyDescent="0.45">
      <c r="B250" s="46" cm="1">
        <f t="array" aca="1" ref="B250" ca="1">_xll.VoseSimValue(InterestOut,164)</f>
        <v>5.5300870354650478E-2</v>
      </c>
      <c r="C250" s="46" cm="1">
        <f t="array" aca="1" ref="C250" ca="1">_xll.VoseSimValue(MortgageOut,164)</f>
        <v>9.5715679889324001E-2</v>
      </c>
    </row>
    <row r="251" spans="2:3" hidden="1" outlineLevel="1" x14ac:dyDescent="0.45">
      <c r="B251" s="46" cm="1">
        <f t="array" aca="1" ref="B251" ca="1">_xll.VoseSimValue(InterestOut,165)</f>
        <v>5.8456651309245378E-2</v>
      </c>
      <c r="C251" s="46" cm="1">
        <f t="array" aca="1" ref="C251" ca="1">_xll.VoseSimValue(MortgageOut,165)</f>
        <v>0.1017845409535076</v>
      </c>
    </row>
    <row r="252" spans="2:3" hidden="1" outlineLevel="1" x14ac:dyDescent="0.45">
      <c r="B252" s="46" cm="1">
        <f t="array" aca="1" ref="B252" ca="1">_xll.VoseSimValue(InterestOut,166)</f>
        <v>4.7422967998688205E-2</v>
      </c>
      <c r="C252" s="46" cm="1">
        <f t="array" aca="1" ref="C252" ca="1">_xll.VoseSimValue(MortgageOut,166)</f>
        <v>8.6693626125421669E-2</v>
      </c>
    </row>
    <row r="253" spans="2:3" hidden="1" outlineLevel="1" x14ac:dyDescent="0.45">
      <c r="B253" s="46" cm="1">
        <f t="array" aca="1" ref="B253" ca="1">_xll.VoseSimValue(InterestOut,167)</f>
        <v>4.7287592842392021E-2</v>
      </c>
      <c r="C253" s="46" cm="1">
        <f t="array" aca="1" ref="C253" ca="1">_xll.VoseSimValue(MortgageOut,167)</f>
        <v>0.11546613979509168</v>
      </c>
    </row>
    <row r="254" spans="2:3" hidden="1" outlineLevel="1" x14ac:dyDescent="0.45">
      <c r="B254" s="46" cm="1">
        <f t="array" aca="1" ref="B254" ca="1">_xll.VoseSimValue(InterestOut,168)</f>
        <v>5.8867049906679916E-2</v>
      </c>
      <c r="C254" s="46" cm="1">
        <f t="array" aca="1" ref="C254" ca="1">_xll.VoseSimValue(MortgageOut,168)</f>
        <v>0.11704027799335355</v>
      </c>
    </row>
    <row r="255" spans="2:3" hidden="1" outlineLevel="1" x14ac:dyDescent="0.45">
      <c r="B255" s="46" cm="1">
        <f t="array" aca="1" ref="B255" ca="1">_xll.VoseSimValue(InterestOut,169)</f>
        <v>4.5105854728490206E-2</v>
      </c>
      <c r="C255" s="46" cm="1">
        <f t="array" aca="1" ref="C255" ca="1">_xll.VoseSimValue(MortgageOut,169)</f>
        <v>0.10236601078917312</v>
      </c>
    </row>
    <row r="256" spans="2:3" hidden="1" outlineLevel="1" x14ac:dyDescent="0.45">
      <c r="B256" s="46" cm="1">
        <f t="array" aca="1" ref="B256" ca="1">_xll.VoseSimValue(InterestOut,170)</f>
        <v>4.7492465312099233E-2</v>
      </c>
      <c r="C256" s="46" cm="1">
        <f t="array" aca="1" ref="C256" ca="1">_xll.VoseSimValue(MortgageOut,170)</f>
        <v>9.5508216352916953E-2</v>
      </c>
    </row>
    <row r="257" spans="2:3" hidden="1" outlineLevel="1" x14ac:dyDescent="0.45">
      <c r="B257" s="46" cm="1">
        <f t="array" aca="1" ref="B257" ca="1">_xll.VoseSimValue(InterestOut,171)</f>
        <v>6.4277270089323185E-2</v>
      </c>
      <c r="C257" s="46" cm="1">
        <f t="array" aca="1" ref="C257" ca="1">_xll.VoseSimValue(MortgageOut,171)</f>
        <v>0.1187713120238183</v>
      </c>
    </row>
    <row r="258" spans="2:3" hidden="1" outlineLevel="1" x14ac:dyDescent="0.45">
      <c r="B258" s="46" cm="1">
        <f t="array" aca="1" ref="B258" ca="1">_xll.VoseSimValue(InterestOut,172)</f>
        <v>5.8517686640408753E-2</v>
      </c>
      <c r="C258" s="46" cm="1">
        <f t="array" aca="1" ref="C258" ca="1">_xll.VoseSimValue(MortgageOut,172)</f>
        <v>0.10771415775707045</v>
      </c>
    </row>
    <row r="259" spans="2:3" hidden="1" outlineLevel="1" x14ac:dyDescent="0.45">
      <c r="B259" s="46" cm="1">
        <f t="array" aca="1" ref="B259" ca="1">_xll.VoseSimValue(InterestOut,173)</f>
        <v>4.9385949158126427E-2</v>
      </c>
      <c r="C259" s="46" cm="1">
        <f t="array" aca="1" ref="C259" ca="1">_xll.VoseSimValue(MortgageOut,173)</f>
        <v>0.10800251517272103</v>
      </c>
    </row>
    <row r="260" spans="2:3" hidden="1" outlineLevel="1" x14ac:dyDescent="0.45">
      <c r="B260" s="46" cm="1">
        <f t="array" aca="1" ref="B260" ca="1">_xll.VoseSimValue(InterestOut,174)</f>
        <v>6.3546460244052305E-2</v>
      </c>
      <c r="C260" s="46" cm="1">
        <f t="array" aca="1" ref="C260" ca="1">_xll.VoseSimValue(MortgageOut,174)</f>
        <v>0.11760525563060488</v>
      </c>
    </row>
    <row r="261" spans="2:3" hidden="1" outlineLevel="1" x14ac:dyDescent="0.45">
      <c r="B261" s="46" cm="1">
        <f t="array" aca="1" ref="B261" ca="1">_xll.VoseSimValue(InterestOut,175)</f>
        <v>6.9059745394025207E-2</v>
      </c>
      <c r="C261" s="46" cm="1">
        <f t="array" aca="1" ref="C261" ca="1">_xll.VoseSimValue(MortgageOut,175)</f>
        <v>0.11453423300936291</v>
      </c>
    </row>
    <row r="262" spans="2:3" hidden="1" outlineLevel="1" x14ac:dyDescent="0.45">
      <c r="B262" s="46" cm="1">
        <f t="array" aca="1" ref="B262" ca="1">_xll.VoseSimValue(InterestOut,176)</f>
        <v>3.3803437926516314E-2</v>
      </c>
      <c r="C262" s="46" cm="1">
        <f t="array" aca="1" ref="C262" ca="1">_xll.VoseSimValue(MortgageOut,176)</f>
        <v>8.2846915012611405E-2</v>
      </c>
    </row>
    <row r="263" spans="2:3" hidden="1" outlineLevel="1" x14ac:dyDescent="0.45">
      <c r="B263" s="46" cm="1">
        <f t="array" aca="1" ref="B263" ca="1">_xll.VoseSimValue(InterestOut,177)</f>
        <v>5.5754756509692346E-2</v>
      </c>
      <c r="C263" s="46" cm="1">
        <f t="array" aca="1" ref="C263" ca="1">_xll.VoseSimValue(MortgageOut,177)</f>
        <v>0.12380057831702523</v>
      </c>
    </row>
    <row r="264" spans="2:3" hidden="1" outlineLevel="1" x14ac:dyDescent="0.45">
      <c r="B264" s="46" cm="1">
        <f t="array" aca="1" ref="B264" ca="1">_xll.VoseSimValue(InterestOut,178)</f>
        <v>5.1223714944770044E-2</v>
      </c>
      <c r="C264" s="46" cm="1">
        <f t="array" aca="1" ref="C264" ca="1">_xll.VoseSimValue(MortgageOut,178)</f>
        <v>0.11379430915137331</v>
      </c>
    </row>
    <row r="265" spans="2:3" hidden="1" outlineLevel="1" x14ac:dyDescent="0.45">
      <c r="B265" s="46" cm="1">
        <f t="array" aca="1" ref="B265" ca="1">_xll.VoseSimValue(InterestOut,179)</f>
        <v>5.4562116849909234E-2</v>
      </c>
      <c r="C265" s="46" cm="1">
        <f t="array" aca="1" ref="C265" ca="1">_xll.VoseSimValue(MortgageOut,179)</f>
        <v>0.1183075200502556</v>
      </c>
    </row>
    <row r="266" spans="2:3" hidden="1" outlineLevel="1" x14ac:dyDescent="0.45">
      <c r="B266" s="46" cm="1">
        <f t="array" aca="1" ref="B266" ca="1">_xll.VoseSimValue(InterestOut,180)</f>
        <v>3.8242449389094074E-2</v>
      </c>
      <c r="C266" s="46" cm="1">
        <f t="array" aca="1" ref="C266" ca="1">_xll.VoseSimValue(MortgageOut,180)</f>
        <v>9.147455479353396E-2</v>
      </c>
    </row>
    <row r="267" spans="2:3" hidden="1" outlineLevel="1" x14ac:dyDescent="0.45">
      <c r="B267" s="46" cm="1">
        <f t="array" aca="1" ref="B267" ca="1">_xll.VoseSimValue(InterestOut,181)</f>
        <v>4.0034818998414899E-2</v>
      </c>
      <c r="C267" s="46" cm="1">
        <f t="array" aca="1" ref="C267" ca="1">_xll.VoseSimValue(MortgageOut,181)</f>
        <v>9.7614496105380338E-2</v>
      </c>
    </row>
    <row r="268" spans="2:3" hidden="1" outlineLevel="1" x14ac:dyDescent="0.45">
      <c r="B268" s="46" cm="1">
        <f t="array" aca="1" ref="B268" ca="1">_xll.VoseSimValue(InterestOut,182)</f>
        <v>5.9688353401865485E-2</v>
      </c>
      <c r="C268" s="46" cm="1">
        <f t="array" aca="1" ref="C268" ca="1">_xll.VoseSimValue(MortgageOut,182)</f>
        <v>0.125740047380311</v>
      </c>
    </row>
    <row r="269" spans="2:3" hidden="1" outlineLevel="1" x14ac:dyDescent="0.45">
      <c r="B269" s="46" cm="1">
        <f t="array" aca="1" ref="B269" ca="1">_xll.VoseSimValue(InterestOut,183)</f>
        <v>6.7681304419686616E-2</v>
      </c>
      <c r="C269" s="46" cm="1">
        <f t="array" aca="1" ref="C269" ca="1">_xll.VoseSimValue(MortgageOut,183)</f>
        <v>0.12024041810675767</v>
      </c>
    </row>
    <row r="270" spans="2:3" hidden="1" outlineLevel="1" x14ac:dyDescent="0.45">
      <c r="B270" s="46" cm="1">
        <f t="array" aca="1" ref="B270" ca="1">_xll.VoseSimValue(InterestOut,184)</f>
        <v>3.7749629776905574E-2</v>
      </c>
      <c r="C270" s="46" cm="1">
        <f t="array" aca="1" ref="C270" ca="1">_xll.VoseSimValue(MortgageOut,184)</f>
        <v>9.6967665825934329E-2</v>
      </c>
    </row>
    <row r="271" spans="2:3" hidden="1" outlineLevel="1" x14ac:dyDescent="0.45">
      <c r="B271" s="46" cm="1">
        <f t="array" aca="1" ref="B271" ca="1">_xll.VoseSimValue(InterestOut,185)</f>
        <v>4.9958235670978672E-2</v>
      </c>
      <c r="C271" s="46" cm="1">
        <f t="array" aca="1" ref="C271" ca="1">_xll.VoseSimValue(MortgageOut,185)</f>
        <v>0.11318064254141622</v>
      </c>
    </row>
    <row r="272" spans="2:3" hidden="1" outlineLevel="1" x14ac:dyDescent="0.45">
      <c r="B272" s="46" cm="1">
        <f t="array" aca="1" ref="B272" ca="1">_xll.VoseSimValue(InterestOut,186)</f>
        <v>4.7459736753633332E-2</v>
      </c>
      <c r="C272" s="46" cm="1">
        <f t="array" aca="1" ref="C272" ca="1">_xll.VoseSimValue(MortgageOut,186)</f>
        <v>9.6051143718323323E-2</v>
      </c>
    </row>
    <row r="273" spans="2:3" hidden="1" outlineLevel="1" x14ac:dyDescent="0.45">
      <c r="B273" s="46" cm="1">
        <f t="array" aca="1" ref="B273" ca="1">_xll.VoseSimValue(InterestOut,187)</f>
        <v>5.3367267103879623E-2</v>
      </c>
      <c r="C273" s="46" cm="1">
        <f t="array" aca="1" ref="C273" ca="1">_xll.VoseSimValue(MortgageOut,187)</f>
        <v>0.11362284922625132</v>
      </c>
    </row>
    <row r="274" spans="2:3" hidden="1" outlineLevel="1" x14ac:dyDescent="0.45">
      <c r="B274" s="46" cm="1">
        <f t="array" aca="1" ref="B274" ca="1">_xll.VoseSimValue(InterestOut,188)</f>
        <v>6.7091529531533786E-2</v>
      </c>
      <c r="C274" s="46" cm="1">
        <f t="array" aca="1" ref="C274" ca="1">_xll.VoseSimValue(MortgageOut,188)</f>
        <v>0.12898293930308019</v>
      </c>
    </row>
    <row r="275" spans="2:3" hidden="1" outlineLevel="1" x14ac:dyDescent="0.45">
      <c r="B275" s="46" cm="1">
        <f t="array" aca="1" ref="B275" ca="1">_xll.VoseSimValue(InterestOut,189)</f>
        <v>4.8861456219823601E-2</v>
      </c>
      <c r="C275" s="46" cm="1">
        <f t="array" aca="1" ref="C275" ca="1">_xll.VoseSimValue(MortgageOut,189)</f>
        <v>0.10604238315959016</v>
      </c>
    </row>
    <row r="276" spans="2:3" hidden="1" outlineLevel="1" x14ac:dyDescent="0.45">
      <c r="B276" s="46" cm="1">
        <f t="array" aca="1" ref="B276" ca="1">_xll.VoseSimValue(InterestOut,190)</f>
        <v>4.8112783649899453E-2</v>
      </c>
      <c r="C276" s="46" cm="1">
        <f t="array" aca="1" ref="C276" ca="1">_xll.VoseSimValue(MortgageOut,190)</f>
        <v>0.11331480022165771</v>
      </c>
    </row>
    <row r="277" spans="2:3" hidden="1" outlineLevel="1" x14ac:dyDescent="0.45">
      <c r="B277" s="46" cm="1">
        <f t="array" aca="1" ref="B277" ca="1">_xll.VoseSimValue(InterestOut,191)</f>
        <v>4.4147416875906877E-2</v>
      </c>
      <c r="C277" s="46" cm="1">
        <f t="array" aca="1" ref="C277" ca="1">_xll.VoseSimValue(MortgageOut,191)</f>
        <v>0.10932563474614476</v>
      </c>
    </row>
    <row r="278" spans="2:3" hidden="1" outlineLevel="1" x14ac:dyDescent="0.45">
      <c r="B278" s="46" cm="1">
        <f t="array" aca="1" ref="B278" ca="1">_xll.VoseSimValue(InterestOut,192)</f>
        <v>5.8856478524237484E-2</v>
      </c>
      <c r="C278" s="46" cm="1">
        <f t="array" aca="1" ref="C278" ca="1">_xll.VoseSimValue(MortgageOut,192)</f>
        <v>0.12098100484547278</v>
      </c>
    </row>
    <row r="279" spans="2:3" hidden="1" outlineLevel="1" x14ac:dyDescent="0.45">
      <c r="B279" s="46" cm="1">
        <f t="array" aca="1" ref="B279" ca="1">_xll.VoseSimValue(InterestOut,193)</f>
        <v>6.4676817364298533E-2</v>
      </c>
      <c r="C279" s="46" cm="1">
        <f t="array" aca="1" ref="C279" ca="1">_xll.VoseSimValue(MortgageOut,193)</f>
        <v>0.12197680925664331</v>
      </c>
    </row>
    <row r="280" spans="2:3" hidden="1" outlineLevel="1" x14ac:dyDescent="0.45">
      <c r="B280" s="46" cm="1">
        <f t="array" aca="1" ref="B280" ca="1">_xll.VoseSimValue(InterestOut,194)</f>
        <v>5.9151939257222931E-2</v>
      </c>
      <c r="C280" s="46" cm="1">
        <f t="array" aca="1" ref="C280" ca="1">_xll.VoseSimValue(MortgageOut,194)</f>
        <v>0.1058612337807907</v>
      </c>
    </row>
    <row r="281" spans="2:3" hidden="1" outlineLevel="1" x14ac:dyDescent="0.45">
      <c r="B281" s="46" cm="1">
        <f t="array" aca="1" ref="B281" ca="1">_xll.VoseSimValue(InterestOut,195)</f>
        <v>5.3239343574566202E-2</v>
      </c>
      <c r="C281" s="46" cm="1">
        <f t="array" aca="1" ref="C281" ca="1">_xll.VoseSimValue(MortgageOut,195)</f>
        <v>0.10251984516951188</v>
      </c>
    </row>
    <row r="282" spans="2:3" hidden="1" outlineLevel="1" x14ac:dyDescent="0.45">
      <c r="B282" s="46" cm="1">
        <f t="array" aca="1" ref="B282" ca="1">_xll.VoseSimValue(InterestOut,196)</f>
        <v>4.5990508661599705E-2</v>
      </c>
      <c r="C282" s="46" cm="1">
        <f t="array" aca="1" ref="C282" ca="1">_xll.VoseSimValue(MortgageOut,196)</f>
        <v>0.11010072975244588</v>
      </c>
    </row>
    <row r="283" spans="2:3" hidden="1" outlineLevel="1" x14ac:dyDescent="0.45">
      <c r="B283" s="46" cm="1">
        <f t="array" aca="1" ref="B283" ca="1">_xll.VoseSimValue(InterestOut,197)</f>
        <v>3.2168007327393278E-2</v>
      </c>
      <c r="C283" s="46" cm="1">
        <f t="array" aca="1" ref="C283" ca="1">_xll.VoseSimValue(MortgageOut,197)</f>
        <v>8.3779776482569429E-2</v>
      </c>
    </row>
    <row r="284" spans="2:3" hidden="1" outlineLevel="1" x14ac:dyDescent="0.45">
      <c r="B284" s="46" cm="1">
        <f t="array" aca="1" ref="B284" ca="1">_xll.VoseSimValue(InterestOut,198)</f>
        <v>5.9191299252421212E-2</v>
      </c>
      <c r="C284" s="46" cm="1">
        <f t="array" aca="1" ref="C284" ca="1">_xll.VoseSimValue(MortgageOut,198)</f>
        <v>0.11379679769819213</v>
      </c>
    </row>
    <row r="285" spans="2:3" hidden="1" outlineLevel="1" x14ac:dyDescent="0.45">
      <c r="B285" s="46" cm="1">
        <f t="array" aca="1" ref="B285" ca="1">_xll.VoseSimValue(InterestOut,199)</f>
        <v>5.4434769216417128E-2</v>
      </c>
      <c r="C285" s="46" cm="1">
        <f t="array" aca="1" ref="C285" ca="1">_xll.VoseSimValue(MortgageOut,199)</f>
        <v>9.8237982786067407E-2</v>
      </c>
    </row>
    <row r="286" spans="2:3" hidden="1" outlineLevel="1" x14ac:dyDescent="0.45">
      <c r="B286" s="46" cm="1">
        <f t="array" aca="1" ref="B286" ca="1">_xll.VoseSimValue(InterestOut,200)</f>
        <v>4.1454462201141316E-2</v>
      </c>
      <c r="C286" s="46" cm="1">
        <f t="array" aca="1" ref="C286" ca="1">_xll.VoseSimValue(MortgageOut,200)</f>
        <v>0.10247943113715396</v>
      </c>
    </row>
    <row r="287" spans="2:3" hidden="1" outlineLevel="1" x14ac:dyDescent="0.45">
      <c r="B287" s="46" cm="1">
        <f t="array" aca="1" ref="B287" ca="1">_xll.VoseSimValue(InterestOut,201)</f>
        <v>4.6685447251303511E-2</v>
      </c>
      <c r="C287" s="46" cm="1">
        <f t="array" aca="1" ref="C287" ca="1">_xll.VoseSimValue(MortgageOut,201)</f>
        <v>9.0392687728667848E-2</v>
      </c>
    </row>
    <row r="288" spans="2:3" hidden="1" outlineLevel="1" x14ac:dyDescent="0.45">
      <c r="B288" s="46" cm="1">
        <f t="array" aca="1" ref="B288" ca="1">_xll.VoseSimValue(InterestOut,202)</f>
        <v>5.3373912345329566E-2</v>
      </c>
      <c r="C288" s="46" cm="1">
        <f t="array" aca="1" ref="C288" ca="1">_xll.VoseSimValue(MortgageOut,202)</f>
        <v>9.8521671762073396E-2</v>
      </c>
    </row>
    <row r="289" spans="2:3" hidden="1" outlineLevel="1" x14ac:dyDescent="0.45">
      <c r="B289" s="46" cm="1">
        <f t="array" aca="1" ref="B289" ca="1">_xll.VoseSimValue(InterestOut,203)</f>
        <v>5.1989175687990996E-2</v>
      </c>
      <c r="C289" s="46" cm="1">
        <f t="array" aca="1" ref="C289" ca="1">_xll.VoseSimValue(MortgageOut,203)</f>
        <v>0.11148699403390663</v>
      </c>
    </row>
    <row r="290" spans="2:3" hidden="1" outlineLevel="1" x14ac:dyDescent="0.45">
      <c r="B290" s="46" cm="1">
        <f t="array" aca="1" ref="B290" ca="1">_xll.VoseSimValue(InterestOut,204)</f>
        <v>3.3424865601479739E-2</v>
      </c>
      <c r="C290" s="46" cm="1">
        <f t="array" aca="1" ref="C290" ca="1">_xll.VoseSimValue(MortgageOut,204)</f>
        <v>7.6873690714418283E-2</v>
      </c>
    </row>
    <row r="291" spans="2:3" hidden="1" outlineLevel="1" x14ac:dyDescent="0.45">
      <c r="B291" s="46" cm="1">
        <f t="array" aca="1" ref="B291" ca="1">_xll.VoseSimValue(InterestOut,205)</f>
        <v>6.3771801798494038E-2</v>
      </c>
      <c r="C291" s="46" cm="1">
        <f t="array" aca="1" ref="C291" ca="1">_xll.VoseSimValue(MortgageOut,205)</f>
        <v>0.12608473864510833</v>
      </c>
    </row>
    <row r="292" spans="2:3" hidden="1" outlineLevel="1" x14ac:dyDescent="0.45">
      <c r="B292" s="46" cm="1">
        <f t="array" aca="1" ref="B292" ca="1">_xll.VoseSimValue(InterestOut,206)</f>
        <v>5.7121057770139913E-2</v>
      </c>
      <c r="C292" s="46" cm="1">
        <f t="array" aca="1" ref="C292" ca="1">_xll.VoseSimValue(MortgageOut,206)</f>
        <v>0.12752550054426307</v>
      </c>
    </row>
    <row r="293" spans="2:3" hidden="1" outlineLevel="1" x14ac:dyDescent="0.45">
      <c r="B293" s="46" cm="1">
        <f t="array" aca="1" ref="B293" ca="1">_xll.VoseSimValue(InterestOut,207)</f>
        <v>4.7512233460912739E-2</v>
      </c>
      <c r="C293" s="46" cm="1">
        <f t="array" aca="1" ref="C293" ca="1">_xll.VoseSimValue(MortgageOut,207)</f>
        <v>0.11739911444534706</v>
      </c>
    </row>
    <row r="294" spans="2:3" hidden="1" outlineLevel="1" x14ac:dyDescent="0.45">
      <c r="B294" s="46" cm="1">
        <f t="array" aca="1" ref="B294" ca="1">_xll.VoseSimValue(InterestOut,208)</f>
        <v>5.0501770094307535E-2</v>
      </c>
      <c r="C294" s="46" cm="1">
        <f t="array" aca="1" ref="C294" ca="1">_xll.VoseSimValue(MortgageOut,208)</f>
        <v>0.11111220813766004</v>
      </c>
    </row>
    <row r="295" spans="2:3" hidden="1" outlineLevel="1" x14ac:dyDescent="0.45">
      <c r="B295" s="46" cm="1">
        <f t="array" aca="1" ref="B295" ca="1">_xll.VoseSimValue(InterestOut,209)</f>
        <v>6.4962289157745032E-2</v>
      </c>
      <c r="C295" s="46" cm="1">
        <f t="array" aca="1" ref="C295" ca="1">_xll.VoseSimValue(MortgageOut,209)</f>
        <v>0.1299111562749686</v>
      </c>
    </row>
    <row r="296" spans="2:3" hidden="1" outlineLevel="1" x14ac:dyDescent="0.45">
      <c r="B296" s="46" cm="1">
        <f t="array" aca="1" ref="B296" ca="1">_xll.VoseSimValue(InterestOut,210)</f>
        <v>5.8913043758483191E-2</v>
      </c>
      <c r="C296" s="46" cm="1">
        <f t="array" aca="1" ref="C296" ca="1">_xll.VoseSimValue(MortgageOut,210)</f>
        <v>0.10223552427429319</v>
      </c>
    </row>
    <row r="297" spans="2:3" hidden="1" outlineLevel="1" x14ac:dyDescent="0.45">
      <c r="B297" s="46" cm="1">
        <f t="array" aca="1" ref="B297" ca="1">_xll.VoseSimValue(InterestOut,211)</f>
        <v>5.4608810441660383E-2</v>
      </c>
      <c r="C297" s="46" cm="1">
        <f t="array" aca="1" ref="C297" ca="1">_xll.VoseSimValue(MortgageOut,211)</f>
        <v>0.10899026911389566</v>
      </c>
    </row>
    <row r="298" spans="2:3" hidden="1" outlineLevel="1" x14ac:dyDescent="0.45">
      <c r="B298" s="46" cm="1">
        <f t="array" aca="1" ref="B298" ca="1">_xll.VoseSimValue(InterestOut,212)</f>
        <v>5.0416562083053638E-2</v>
      </c>
      <c r="C298" s="46" cm="1">
        <f t="array" aca="1" ref="C298" ca="1">_xll.VoseSimValue(MortgageOut,212)</f>
        <v>0.10248376097323739</v>
      </c>
    </row>
    <row r="299" spans="2:3" hidden="1" outlineLevel="1" x14ac:dyDescent="0.45">
      <c r="B299" s="46" cm="1">
        <f t="array" aca="1" ref="B299" ca="1">_xll.VoseSimValue(InterestOut,213)</f>
        <v>3.4306164216413651E-2</v>
      </c>
      <c r="C299" s="46" cm="1">
        <f t="array" aca="1" ref="C299" ca="1">_xll.VoseSimValue(MortgageOut,213)</f>
        <v>7.388722604094862E-2</v>
      </c>
    </row>
    <row r="300" spans="2:3" hidden="1" outlineLevel="1" x14ac:dyDescent="0.45">
      <c r="B300" s="46" cm="1">
        <f t="array" aca="1" ref="B300" ca="1">_xll.VoseSimValue(InterestOut,214)</f>
        <v>4.5079353559731097E-2</v>
      </c>
      <c r="C300" s="46" cm="1">
        <f t="array" aca="1" ref="C300" ca="1">_xll.VoseSimValue(MortgageOut,214)</f>
        <v>9.7561943102376619E-2</v>
      </c>
    </row>
    <row r="301" spans="2:3" hidden="1" outlineLevel="1" x14ac:dyDescent="0.45">
      <c r="B301" s="46" cm="1">
        <f t="array" aca="1" ref="B301" ca="1">_xll.VoseSimValue(InterestOut,215)</f>
        <v>6.6229371527394137E-2</v>
      </c>
      <c r="C301" s="46" cm="1">
        <f t="array" aca="1" ref="C301" ca="1">_xll.VoseSimValue(MortgageOut,215)</f>
        <v>0.11910902233931678</v>
      </c>
    </row>
    <row r="302" spans="2:3" hidden="1" outlineLevel="1" x14ac:dyDescent="0.45">
      <c r="B302" s="46" cm="1">
        <f t="array" aca="1" ref="B302" ca="1">_xll.VoseSimValue(InterestOut,216)</f>
        <v>6.1371415129911171E-2</v>
      </c>
      <c r="C302" s="46" cm="1">
        <f t="array" aca="1" ref="C302" ca="1">_xll.VoseSimValue(MortgageOut,216)</f>
        <v>0.10391049701624487</v>
      </c>
    </row>
    <row r="303" spans="2:3" hidden="1" outlineLevel="1" x14ac:dyDescent="0.45">
      <c r="B303" s="46" cm="1">
        <f t="array" aca="1" ref="B303" ca="1">_xll.VoseSimValue(InterestOut,217)</f>
        <v>5.6568035091094593E-2</v>
      </c>
      <c r="C303" s="46" cm="1">
        <f t="array" aca="1" ref="C303" ca="1">_xll.VoseSimValue(MortgageOut,217)</f>
        <v>0.12478757146253884</v>
      </c>
    </row>
    <row r="304" spans="2:3" hidden="1" outlineLevel="1" x14ac:dyDescent="0.45">
      <c r="B304" s="46" cm="1">
        <f t="array" aca="1" ref="B304" ca="1">_xll.VoseSimValue(InterestOut,218)</f>
        <v>5.2636596559681656E-2</v>
      </c>
      <c r="C304" s="46" cm="1">
        <f t="array" aca="1" ref="C304" ca="1">_xll.VoseSimValue(MortgageOut,218)</f>
        <v>9.9879819646211926E-2</v>
      </c>
    </row>
    <row r="305" spans="2:3" hidden="1" outlineLevel="1" x14ac:dyDescent="0.45">
      <c r="B305" s="46" cm="1">
        <f t="array" aca="1" ref="B305" ca="1">_xll.VoseSimValue(InterestOut,219)</f>
        <v>7.5120457528867729E-2</v>
      </c>
      <c r="C305" s="46" cm="1">
        <f t="array" aca="1" ref="C305" ca="1">_xll.VoseSimValue(MortgageOut,219)</f>
        <v>0.13721605686984104</v>
      </c>
    </row>
    <row r="306" spans="2:3" hidden="1" outlineLevel="1" x14ac:dyDescent="0.45">
      <c r="B306" s="46" cm="1">
        <f t="array" aca="1" ref="B306" ca="1">_xll.VoseSimValue(InterestOut,220)</f>
        <v>3.8058468828980514E-2</v>
      </c>
      <c r="C306" s="46" cm="1">
        <f t="array" aca="1" ref="C306" ca="1">_xll.VoseSimValue(MortgageOut,220)</f>
        <v>8.3741840430336639E-2</v>
      </c>
    </row>
    <row r="307" spans="2:3" hidden="1" outlineLevel="1" x14ac:dyDescent="0.45">
      <c r="B307" s="46" cm="1">
        <f t="array" aca="1" ref="B307" ca="1">_xll.VoseSimValue(InterestOut,221)</f>
        <v>4.2117989453000812E-2</v>
      </c>
      <c r="C307" s="46" cm="1">
        <f t="array" aca="1" ref="C307" ca="1">_xll.VoseSimValue(MortgageOut,221)</f>
        <v>9.3806217224763344E-2</v>
      </c>
    </row>
    <row r="308" spans="2:3" hidden="1" outlineLevel="1" x14ac:dyDescent="0.45">
      <c r="B308" s="46" cm="1">
        <f t="array" aca="1" ref="B308" ca="1">_xll.VoseSimValue(InterestOut,222)</f>
        <v>5.0549898051400782E-2</v>
      </c>
      <c r="C308" s="46" cm="1">
        <f t="array" aca="1" ref="C308" ca="1">_xll.VoseSimValue(MortgageOut,222)</f>
        <v>0.11575058811668246</v>
      </c>
    </row>
    <row r="309" spans="2:3" hidden="1" outlineLevel="1" x14ac:dyDescent="0.45">
      <c r="B309" s="46" cm="1">
        <f t="array" aca="1" ref="B309" ca="1">_xll.VoseSimValue(InterestOut,223)</f>
        <v>4.0888372629172463E-2</v>
      </c>
      <c r="C309" s="46" cm="1">
        <f t="array" aca="1" ref="C309" ca="1">_xll.VoseSimValue(MortgageOut,223)</f>
        <v>9.1675733837368434E-2</v>
      </c>
    </row>
    <row r="310" spans="2:3" hidden="1" outlineLevel="1" x14ac:dyDescent="0.45">
      <c r="B310" s="46" cm="1">
        <f t="array" aca="1" ref="B310" ca="1">_xll.VoseSimValue(InterestOut,224)</f>
        <v>5.8188681450865462E-2</v>
      </c>
      <c r="C310" s="46" cm="1">
        <f t="array" aca="1" ref="C310" ca="1">_xll.VoseSimValue(MortgageOut,224)</f>
        <v>0.11155094665511203</v>
      </c>
    </row>
    <row r="311" spans="2:3" hidden="1" outlineLevel="1" x14ac:dyDescent="0.45">
      <c r="B311" s="46" cm="1">
        <f t="array" aca="1" ref="B311" ca="1">_xll.VoseSimValue(InterestOut,225)</f>
        <v>6.6439609691079121E-2</v>
      </c>
      <c r="C311" s="46" cm="1">
        <f t="array" aca="1" ref="C311" ca="1">_xll.VoseSimValue(MortgageOut,225)</f>
        <v>0.11042673948675664</v>
      </c>
    </row>
    <row r="312" spans="2:3" hidden="1" outlineLevel="1" x14ac:dyDescent="0.45">
      <c r="B312" s="46" cm="1">
        <f t="array" aca="1" ref="B312" ca="1">_xll.VoseSimValue(InterestOut,226)</f>
        <v>4.2759094258388468E-2</v>
      </c>
      <c r="C312" s="46" cm="1">
        <f t="array" aca="1" ref="C312" ca="1">_xll.VoseSimValue(MortgageOut,226)</f>
        <v>9.6742531421781089E-2</v>
      </c>
    </row>
    <row r="313" spans="2:3" hidden="1" outlineLevel="1" x14ac:dyDescent="0.45">
      <c r="B313" s="46" cm="1">
        <f t="array" aca="1" ref="B313" ca="1">_xll.VoseSimValue(InterestOut,227)</f>
        <v>5.6747027399779701E-2</v>
      </c>
      <c r="C313" s="46" cm="1">
        <f t="array" aca="1" ref="C313" ca="1">_xll.VoseSimValue(MortgageOut,227)</f>
        <v>9.9736041470307707E-2</v>
      </c>
    </row>
    <row r="314" spans="2:3" hidden="1" outlineLevel="1" x14ac:dyDescent="0.45">
      <c r="B314" s="46" cm="1">
        <f t="array" aca="1" ref="B314" ca="1">_xll.VoseSimValue(InterestOut,228)</f>
        <v>5.0335752034553809E-2</v>
      </c>
      <c r="C314" s="46" cm="1">
        <f t="array" aca="1" ref="C314" ca="1">_xll.VoseSimValue(MortgageOut,228)</f>
        <v>9.8842726355794691E-2</v>
      </c>
    </row>
    <row r="315" spans="2:3" hidden="1" outlineLevel="1" x14ac:dyDescent="0.45">
      <c r="B315" s="46" cm="1">
        <f t="array" aca="1" ref="B315" ca="1">_xll.VoseSimValue(InterestOut,229)</f>
        <v>3.7850410786474185E-2</v>
      </c>
      <c r="C315" s="46" cm="1">
        <f t="array" aca="1" ref="C315" ca="1">_xll.VoseSimValue(MortgageOut,229)</f>
        <v>7.6689877538102982E-2</v>
      </c>
    </row>
    <row r="316" spans="2:3" hidden="1" outlineLevel="1" x14ac:dyDescent="0.45">
      <c r="B316" s="46" cm="1">
        <f t="array" aca="1" ref="B316" ca="1">_xll.VoseSimValue(InterestOut,230)</f>
        <v>4.3948294995697065E-2</v>
      </c>
      <c r="C316" s="46" cm="1">
        <f t="array" aca="1" ref="C316" ca="1">_xll.VoseSimValue(MortgageOut,230)</f>
        <v>9.9077560868846989E-2</v>
      </c>
    </row>
    <row r="317" spans="2:3" hidden="1" outlineLevel="1" x14ac:dyDescent="0.45">
      <c r="B317" s="46" cm="1">
        <f t="array" aca="1" ref="B317" ca="1">_xll.VoseSimValue(InterestOut,231)</f>
        <v>5.8606495631205131E-2</v>
      </c>
      <c r="C317" s="46" cm="1">
        <f t="array" aca="1" ref="C317" ca="1">_xll.VoseSimValue(MortgageOut,231)</f>
        <v>0.12511218495286547</v>
      </c>
    </row>
    <row r="318" spans="2:3" hidden="1" outlineLevel="1" x14ac:dyDescent="0.45">
      <c r="B318" s="46" cm="1">
        <f t="array" aca="1" ref="B318" ca="1">_xll.VoseSimValue(InterestOut,232)</f>
        <v>5.1491111726252481E-2</v>
      </c>
      <c r="C318" s="46" cm="1">
        <f t="array" aca="1" ref="C318" ca="1">_xll.VoseSimValue(MortgageOut,232)</f>
        <v>9.2297272670669964E-2</v>
      </c>
    </row>
    <row r="319" spans="2:3" hidden="1" outlineLevel="1" x14ac:dyDescent="0.45">
      <c r="B319" s="46" cm="1">
        <f t="array" aca="1" ref="B319" ca="1">_xll.VoseSimValue(InterestOut,233)</f>
        <v>5.8553753457460792E-2</v>
      </c>
      <c r="C319" s="46" cm="1">
        <f t="array" aca="1" ref="C319" ca="1">_xll.VoseSimValue(MortgageOut,233)</f>
        <v>0.1159384208176118</v>
      </c>
    </row>
    <row r="320" spans="2:3" hidden="1" outlineLevel="1" x14ac:dyDescent="0.45">
      <c r="B320" s="46" cm="1">
        <f t="array" aca="1" ref="B320" ca="1">_xll.VoseSimValue(InterestOut,234)</f>
        <v>4.3282966762885344E-2</v>
      </c>
      <c r="C320" s="46" cm="1">
        <f t="array" aca="1" ref="C320" ca="1">_xll.VoseSimValue(MortgageOut,234)</f>
        <v>7.9783339884620941E-2</v>
      </c>
    </row>
    <row r="321" spans="2:3" hidden="1" outlineLevel="1" x14ac:dyDescent="0.45">
      <c r="B321" s="46" cm="1">
        <f t="array" aca="1" ref="B321" ca="1">_xll.VoseSimValue(InterestOut,235)</f>
        <v>6.5819292598129936E-2</v>
      </c>
      <c r="C321" s="46" cm="1">
        <f t="array" aca="1" ref="C321" ca="1">_xll.VoseSimValue(MortgageOut,235)</f>
        <v>0.1067223743648604</v>
      </c>
    </row>
    <row r="322" spans="2:3" hidden="1" outlineLevel="1" x14ac:dyDescent="0.45">
      <c r="B322" s="46" cm="1">
        <f t="array" aca="1" ref="B322" ca="1">_xll.VoseSimValue(InterestOut,236)</f>
        <v>3.6922379600599305E-2</v>
      </c>
      <c r="C322" s="46" cm="1">
        <f t="array" aca="1" ref="C322" ca="1">_xll.VoseSimValue(MortgageOut,236)</f>
        <v>0.10975647460526941</v>
      </c>
    </row>
    <row r="323" spans="2:3" hidden="1" outlineLevel="1" x14ac:dyDescent="0.45">
      <c r="B323" s="46" cm="1">
        <f t="array" aca="1" ref="B323" ca="1">_xll.VoseSimValue(InterestOut,237)</f>
        <v>5.7197786193281239E-2</v>
      </c>
      <c r="C323" s="46" cm="1">
        <f t="array" aca="1" ref="C323" ca="1">_xll.VoseSimValue(MortgageOut,237)</f>
        <v>0.10795874635075106</v>
      </c>
    </row>
    <row r="324" spans="2:3" hidden="1" outlineLevel="1" x14ac:dyDescent="0.45">
      <c r="B324" s="46" cm="1">
        <f t="array" aca="1" ref="B324" ca="1">_xll.VoseSimValue(InterestOut,238)</f>
        <v>5.1771809264194779E-2</v>
      </c>
      <c r="C324" s="46" cm="1">
        <f t="array" aca="1" ref="C324" ca="1">_xll.VoseSimValue(MortgageOut,238)</f>
        <v>9.8050168294409587E-2</v>
      </c>
    </row>
    <row r="325" spans="2:3" hidden="1" outlineLevel="1" x14ac:dyDescent="0.45">
      <c r="B325" s="46" cm="1">
        <f t="array" aca="1" ref="B325" ca="1">_xll.VoseSimValue(InterestOut,239)</f>
        <v>4.0406207138481066E-2</v>
      </c>
      <c r="C325" s="46" cm="1">
        <f t="array" aca="1" ref="C325" ca="1">_xll.VoseSimValue(MortgageOut,239)</f>
        <v>7.7771950568322701E-2</v>
      </c>
    </row>
    <row r="326" spans="2:3" hidden="1" outlineLevel="1" x14ac:dyDescent="0.45">
      <c r="B326" s="46" cm="1">
        <f t="array" aca="1" ref="B326" ca="1">_xll.VoseSimValue(InterestOut,240)</f>
        <v>4.2115914288999308E-2</v>
      </c>
      <c r="C326" s="46" cm="1">
        <f t="array" aca="1" ref="C326" ca="1">_xll.VoseSimValue(MortgageOut,240)</f>
        <v>8.7750626189955189E-2</v>
      </c>
    </row>
    <row r="327" spans="2:3" hidden="1" outlineLevel="1" x14ac:dyDescent="0.45">
      <c r="B327" s="46" cm="1">
        <f t="array" aca="1" ref="B327" ca="1">_xll.VoseSimValue(InterestOut,241)</f>
        <v>3.4729739859570466E-2</v>
      </c>
      <c r="C327" s="46" cm="1">
        <f t="array" aca="1" ref="C327" ca="1">_xll.VoseSimValue(MortgageOut,241)</f>
        <v>7.8469722108294643E-2</v>
      </c>
    </row>
    <row r="328" spans="2:3" hidden="1" outlineLevel="1" x14ac:dyDescent="0.45">
      <c r="B328" s="46" cm="1">
        <f t="array" aca="1" ref="B328" ca="1">_xll.VoseSimValue(InterestOut,242)</f>
        <v>4.8549734435270456E-2</v>
      </c>
      <c r="C328" s="46" cm="1">
        <f t="array" aca="1" ref="C328" ca="1">_xll.VoseSimValue(MortgageOut,242)</f>
        <v>9.5041581024321531E-2</v>
      </c>
    </row>
    <row r="329" spans="2:3" hidden="1" outlineLevel="1" x14ac:dyDescent="0.45">
      <c r="B329" s="46" cm="1">
        <f t="array" aca="1" ref="B329" ca="1">_xll.VoseSimValue(InterestOut,243)</f>
        <v>3.5303496892283306E-2</v>
      </c>
      <c r="C329" s="46" cm="1">
        <f t="array" aca="1" ref="C329" ca="1">_xll.VoseSimValue(MortgageOut,243)</f>
        <v>9.1904398580849034E-2</v>
      </c>
    </row>
    <row r="330" spans="2:3" hidden="1" outlineLevel="1" x14ac:dyDescent="0.45">
      <c r="B330" s="46" cm="1">
        <f t="array" aca="1" ref="B330" ca="1">_xll.VoseSimValue(InterestOut,244)</f>
        <v>3.973734909572834E-2</v>
      </c>
      <c r="C330" s="46" cm="1">
        <f t="array" aca="1" ref="C330" ca="1">_xll.VoseSimValue(MortgageOut,244)</f>
        <v>8.5065468488415424E-2</v>
      </c>
    </row>
    <row r="331" spans="2:3" hidden="1" outlineLevel="1" x14ac:dyDescent="0.45">
      <c r="B331" s="46" cm="1">
        <f t="array" aca="1" ref="B331" ca="1">_xll.VoseSimValue(InterestOut,245)</f>
        <v>3.5476241233581084E-2</v>
      </c>
      <c r="C331" s="46" cm="1">
        <f t="array" aca="1" ref="C331" ca="1">_xll.VoseSimValue(MortgageOut,245)</f>
        <v>9.0098123130454288E-2</v>
      </c>
    </row>
    <row r="332" spans="2:3" hidden="1" outlineLevel="1" x14ac:dyDescent="0.45">
      <c r="B332" s="46" cm="1">
        <f t="array" aca="1" ref="B332" ca="1">_xll.VoseSimValue(InterestOut,246)</f>
        <v>5.1532387087903725E-2</v>
      </c>
      <c r="C332" s="46" cm="1">
        <f t="array" aca="1" ref="C332" ca="1">_xll.VoseSimValue(MortgageOut,246)</f>
        <v>0.11740765920029039</v>
      </c>
    </row>
    <row r="333" spans="2:3" hidden="1" outlineLevel="1" x14ac:dyDescent="0.45">
      <c r="B333" s="46" cm="1">
        <f t="array" aca="1" ref="B333" ca="1">_xll.VoseSimValue(InterestOut,247)</f>
        <v>4.4418882895871509E-2</v>
      </c>
      <c r="C333" s="46" cm="1">
        <f t="array" aca="1" ref="C333" ca="1">_xll.VoseSimValue(MortgageOut,247)</f>
        <v>9.6219372012746607E-2</v>
      </c>
    </row>
    <row r="334" spans="2:3" hidden="1" outlineLevel="1" x14ac:dyDescent="0.45">
      <c r="B334" s="46" cm="1">
        <f t="array" aca="1" ref="B334" ca="1">_xll.VoseSimValue(InterestOut,248)</f>
        <v>3.9520830013160993E-2</v>
      </c>
      <c r="C334" s="46" cm="1">
        <f t="array" aca="1" ref="C334" ca="1">_xll.VoseSimValue(MortgageOut,248)</f>
        <v>0.10032095007185921</v>
      </c>
    </row>
    <row r="335" spans="2:3" hidden="1" outlineLevel="1" x14ac:dyDescent="0.45">
      <c r="B335" s="46" cm="1">
        <f t="array" aca="1" ref="B335" ca="1">_xll.VoseSimValue(InterestOut,249)</f>
        <v>6.2561443718058676E-2</v>
      </c>
      <c r="C335" s="46" cm="1">
        <f t="array" aca="1" ref="C335" ca="1">_xll.VoseSimValue(MortgageOut,249)</f>
        <v>0.10885089015170901</v>
      </c>
    </row>
    <row r="336" spans="2:3" hidden="1" outlineLevel="1" x14ac:dyDescent="0.45">
      <c r="B336" s="46" cm="1">
        <f t="array" aca="1" ref="B336" ca="1">_xll.VoseSimValue(InterestOut,250)</f>
        <v>4.5637785666035408E-2</v>
      </c>
      <c r="C336" s="46" cm="1">
        <f t="array" aca="1" ref="C336" ca="1">_xll.VoseSimValue(MortgageOut,250)</f>
        <v>8.7653181680892034E-2</v>
      </c>
    </row>
    <row r="337" spans="2:3" hidden="1" outlineLevel="1" x14ac:dyDescent="0.45">
      <c r="B337" s="46" cm="1">
        <f t="array" aca="1" ref="B337" ca="1">_xll.VoseSimValue(InterestOut,251)</f>
        <v>5.2302486788659633E-2</v>
      </c>
      <c r="C337" s="46" cm="1">
        <f t="array" aca="1" ref="C337" ca="1">_xll.VoseSimValue(MortgageOut,251)</f>
        <v>0.10961995614731077</v>
      </c>
    </row>
    <row r="338" spans="2:3" hidden="1" outlineLevel="1" x14ac:dyDescent="0.45">
      <c r="B338" s="46" cm="1">
        <f t="array" aca="1" ref="B338" ca="1">_xll.VoseSimValue(InterestOut,252)</f>
        <v>4.3990152194519287E-2</v>
      </c>
      <c r="C338" s="46" cm="1">
        <f t="array" aca="1" ref="C338" ca="1">_xll.VoseSimValue(MortgageOut,252)</f>
        <v>0.11640949833016048</v>
      </c>
    </row>
    <row r="339" spans="2:3" hidden="1" outlineLevel="1" x14ac:dyDescent="0.45">
      <c r="B339" s="46" cm="1">
        <f t="array" aca="1" ref="B339" ca="1">_xll.VoseSimValue(InterestOut,253)</f>
        <v>5.2676753239975088E-2</v>
      </c>
      <c r="C339" s="46" cm="1">
        <f t="array" aca="1" ref="C339" ca="1">_xll.VoseSimValue(MortgageOut,253)</f>
        <v>0.1222689162920778</v>
      </c>
    </row>
    <row r="340" spans="2:3" hidden="1" outlineLevel="1" x14ac:dyDescent="0.45">
      <c r="B340" s="46" cm="1">
        <f t="array" aca="1" ref="B340" ca="1">_xll.VoseSimValue(InterestOut,254)</f>
        <v>6.9353352829581313E-2</v>
      </c>
      <c r="C340" s="46" cm="1">
        <f t="array" aca="1" ref="C340" ca="1">_xll.VoseSimValue(MortgageOut,254)</f>
        <v>0.11792688502667399</v>
      </c>
    </row>
    <row r="341" spans="2:3" hidden="1" outlineLevel="1" x14ac:dyDescent="0.45">
      <c r="B341" s="46" cm="1">
        <f t="array" aca="1" ref="B341" ca="1">_xll.VoseSimValue(InterestOut,255)</f>
        <v>6.1792187680360343E-2</v>
      </c>
      <c r="C341" s="46" cm="1">
        <f t="array" aca="1" ref="C341" ca="1">_xll.VoseSimValue(MortgageOut,255)</f>
        <v>0.1131789191018432</v>
      </c>
    </row>
    <row r="342" spans="2:3" hidden="1" outlineLevel="1" x14ac:dyDescent="0.45">
      <c r="B342" s="46" cm="1">
        <f t="array" aca="1" ref="B342" ca="1">_xll.VoseSimValue(InterestOut,256)</f>
        <v>4.5344616733211184E-2</v>
      </c>
      <c r="C342" s="46" cm="1">
        <f t="array" aca="1" ref="C342" ca="1">_xll.VoseSimValue(MortgageOut,256)</f>
        <v>9.9019667181853663E-2</v>
      </c>
    </row>
    <row r="343" spans="2:3" hidden="1" outlineLevel="1" x14ac:dyDescent="0.45">
      <c r="B343" s="46" cm="1">
        <f t="array" aca="1" ref="B343" ca="1">_xll.VoseSimValue(InterestOut,257)</f>
        <v>4.0402465718451019E-2</v>
      </c>
      <c r="C343" s="46" cm="1">
        <f t="array" aca="1" ref="C343" ca="1">_xll.VoseSimValue(MortgageOut,257)</f>
        <v>7.9025315928985831E-2</v>
      </c>
    </row>
    <row r="344" spans="2:3" hidden="1" outlineLevel="1" x14ac:dyDescent="0.45">
      <c r="B344" s="46" cm="1">
        <f t="array" aca="1" ref="B344" ca="1">_xll.VoseSimValue(InterestOut,258)</f>
        <v>4.4045927365679576E-2</v>
      </c>
      <c r="C344" s="46" cm="1">
        <f t="array" aca="1" ref="C344" ca="1">_xll.VoseSimValue(MortgageOut,258)</f>
        <v>9.613583420396199E-2</v>
      </c>
    </row>
    <row r="345" spans="2:3" hidden="1" outlineLevel="1" x14ac:dyDescent="0.45">
      <c r="B345" s="46" cm="1">
        <f t="array" aca="1" ref="B345" ca="1">_xll.VoseSimValue(InterestOut,259)</f>
        <v>4.5369110317811309E-2</v>
      </c>
      <c r="C345" s="46" cm="1">
        <f t="array" aca="1" ref="C345" ca="1">_xll.VoseSimValue(MortgageOut,259)</f>
        <v>8.3093807857984675E-2</v>
      </c>
    </row>
    <row r="346" spans="2:3" hidden="1" outlineLevel="1" x14ac:dyDescent="0.45">
      <c r="B346" s="46" cm="1">
        <f t="array" aca="1" ref="B346" ca="1">_xll.VoseSimValue(InterestOut,260)</f>
        <v>3.9066407436888127E-2</v>
      </c>
      <c r="C346" s="46" cm="1">
        <f t="array" aca="1" ref="C346" ca="1">_xll.VoseSimValue(MortgageOut,260)</f>
        <v>8.0371932097480198E-2</v>
      </c>
    </row>
    <row r="347" spans="2:3" hidden="1" outlineLevel="1" x14ac:dyDescent="0.45">
      <c r="B347" s="46" cm="1">
        <f t="array" aca="1" ref="B347" ca="1">_xll.VoseSimValue(InterestOut,261)</f>
        <v>5.3568140300099744E-2</v>
      </c>
      <c r="C347" s="46" cm="1">
        <f t="array" aca="1" ref="C347" ca="1">_xll.VoseSimValue(MortgageOut,261)</f>
        <v>9.2348592187337208E-2</v>
      </c>
    </row>
    <row r="348" spans="2:3" hidden="1" outlineLevel="1" x14ac:dyDescent="0.45">
      <c r="B348" s="46" cm="1">
        <f t="array" aca="1" ref="B348" ca="1">_xll.VoseSimValue(InterestOut,262)</f>
        <v>5.3141452880500206E-2</v>
      </c>
      <c r="C348" s="46" cm="1">
        <f t="array" aca="1" ref="C348" ca="1">_xll.VoseSimValue(MortgageOut,262)</f>
        <v>0.11755932568901556</v>
      </c>
    </row>
    <row r="349" spans="2:3" hidden="1" outlineLevel="1" x14ac:dyDescent="0.45">
      <c r="B349" s="46" cm="1">
        <f t="array" aca="1" ref="B349" ca="1">_xll.VoseSimValue(InterestOut,263)</f>
        <v>6.9563016472149408E-2</v>
      </c>
      <c r="C349" s="46" cm="1">
        <f t="array" aca="1" ref="C349" ca="1">_xll.VoseSimValue(MortgageOut,263)</f>
        <v>0.14075879886802517</v>
      </c>
    </row>
    <row r="350" spans="2:3" hidden="1" outlineLevel="1" x14ac:dyDescent="0.45">
      <c r="B350" s="46" cm="1">
        <f t="array" aca="1" ref="B350" ca="1">_xll.VoseSimValue(InterestOut,264)</f>
        <v>4.9118979890244815E-2</v>
      </c>
      <c r="C350" s="46" cm="1">
        <f t="array" aca="1" ref="C350" ca="1">_xll.VoseSimValue(MortgageOut,264)</f>
        <v>9.3751953853306064E-2</v>
      </c>
    </row>
    <row r="351" spans="2:3" hidden="1" outlineLevel="1" x14ac:dyDescent="0.45">
      <c r="B351" s="46" cm="1">
        <f t="array" aca="1" ref="B351" ca="1">_xll.VoseSimValue(InterestOut,265)</f>
        <v>5.2897440060202069E-2</v>
      </c>
      <c r="C351" s="46" cm="1">
        <f t="array" aca="1" ref="C351" ca="1">_xll.VoseSimValue(MortgageOut,265)</f>
        <v>0.10709766424720132</v>
      </c>
    </row>
    <row r="352" spans="2:3" hidden="1" outlineLevel="1" x14ac:dyDescent="0.45">
      <c r="B352" s="46" cm="1">
        <f t="array" aca="1" ref="B352" ca="1">_xll.VoseSimValue(InterestOut,266)</f>
        <v>4.7794719152740445E-2</v>
      </c>
      <c r="C352" s="46" cm="1">
        <f t="array" aca="1" ref="C352" ca="1">_xll.VoseSimValue(MortgageOut,266)</f>
        <v>0.10998760213136591</v>
      </c>
    </row>
    <row r="353" spans="2:3" hidden="1" outlineLevel="1" x14ac:dyDescent="0.45">
      <c r="B353" s="46" cm="1">
        <f t="array" aca="1" ref="B353" ca="1">_xll.VoseSimValue(InterestOut,267)</f>
        <v>3.4606661604138028E-2</v>
      </c>
      <c r="C353" s="46" cm="1">
        <f t="array" aca="1" ref="C353" ca="1">_xll.VoseSimValue(MortgageOut,267)</f>
        <v>9.4112129148062468E-2</v>
      </c>
    </row>
    <row r="354" spans="2:3" hidden="1" outlineLevel="1" x14ac:dyDescent="0.45">
      <c r="B354" s="46" cm="1">
        <f t="array" aca="1" ref="B354" ca="1">_xll.VoseSimValue(InterestOut,268)</f>
        <v>6.0643387057600903E-2</v>
      </c>
      <c r="C354" s="46" cm="1">
        <f t="array" aca="1" ref="C354" ca="1">_xll.VoseSimValue(MortgageOut,268)</f>
        <v>0.13766422711405168</v>
      </c>
    </row>
    <row r="355" spans="2:3" hidden="1" outlineLevel="1" x14ac:dyDescent="0.45">
      <c r="B355" s="46" cm="1">
        <f t="array" aca="1" ref="B355" ca="1">_xll.VoseSimValue(InterestOut,269)</f>
        <v>6.0182312071666022E-2</v>
      </c>
      <c r="C355" s="46" cm="1">
        <f t="array" aca="1" ref="C355" ca="1">_xll.VoseSimValue(MortgageOut,269)</f>
        <v>0.102700916661322</v>
      </c>
    </row>
    <row r="356" spans="2:3" hidden="1" outlineLevel="1" x14ac:dyDescent="0.45">
      <c r="B356" s="46" cm="1">
        <f t="array" aca="1" ref="B356" ca="1">_xll.VoseSimValue(InterestOut,270)</f>
        <v>4.5667009708722388E-2</v>
      </c>
      <c r="C356" s="46" cm="1">
        <f t="array" aca="1" ref="C356" ca="1">_xll.VoseSimValue(MortgageOut,270)</f>
        <v>0.11760741692675736</v>
      </c>
    </row>
    <row r="357" spans="2:3" hidden="1" outlineLevel="1" x14ac:dyDescent="0.45">
      <c r="B357" s="46" cm="1">
        <f t="array" aca="1" ref="B357" ca="1">_xll.VoseSimValue(InterestOut,271)</f>
        <v>4.4026547495713615E-2</v>
      </c>
      <c r="C357" s="46" cm="1">
        <f t="array" aca="1" ref="C357" ca="1">_xll.VoseSimValue(MortgageOut,271)</f>
        <v>8.9853770215155754E-2</v>
      </c>
    </row>
    <row r="358" spans="2:3" hidden="1" outlineLevel="1" x14ac:dyDescent="0.45">
      <c r="B358" s="46" cm="1">
        <f t="array" aca="1" ref="B358" ca="1">_xll.VoseSimValue(InterestOut,272)</f>
        <v>5.7380235924327824E-2</v>
      </c>
      <c r="C358" s="46" cm="1">
        <f t="array" aca="1" ref="C358" ca="1">_xll.VoseSimValue(MortgageOut,272)</f>
        <v>9.9541946418001612E-2</v>
      </c>
    </row>
    <row r="359" spans="2:3" hidden="1" outlineLevel="1" x14ac:dyDescent="0.45">
      <c r="B359" s="46" cm="1">
        <f t="array" aca="1" ref="B359" ca="1">_xll.VoseSimValue(InterestOut,273)</f>
        <v>6.0421861311805776E-2</v>
      </c>
      <c r="C359" s="46" cm="1">
        <f t="array" aca="1" ref="C359" ca="1">_xll.VoseSimValue(MortgageOut,273)</f>
        <v>0.11948194191652375</v>
      </c>
    </row>
    <row r="360" spans="2:3" hidden="1" outlineLevel="1" x14ac:dyDescent="0.45">
      <c r="B360" s="46" cm="1">
        <f t="array" aca="1" ref="B360" ca="1">_xll.VoseSimValue(InterestOut,274)</f>
        <v>5.4317734227786477E-2</v>
      </c>
      <c r="C360" s="46" cm="1">
        <f t="array" aca="1" ref="C360" ca="1">_xll.VoseSimValue(MortgageOut,274)</f>
        <v>0.10662905519284092</v>
      </c>
    </row>
    <row r="361" spans="2:3" hidden="1" outlineLevel="1" x14ac:dyDescent="0.45">
      <c r="B361" s="46" cm="1">
        <f t="array" aca="1" ref="B361" ca="1">_xll.VoseSimValue(InterestOut,275)</f>
        <v>4.8326302812769992E-2</v>
      </c>
      <c r="C361" s="46" cm="1">
        <f t="array" aca="1" ref="C361" ca="1">_xll.VoseSimValue(MortgageOut,275)</f>
        <v>0.11352641233407407</v>
      </c>
    </row>
    <row r="362" spans="2:3" hidden="1" outlineLevel="1" x14ac:dyDescent="0.45">
      <c r="B362" s="46" cm="1">
        <f t="array" aca="1" ref="B362" ca="1">_xll.VoseSimValue(InterestOut,276)</f>
        <v>4.9354938810514601E-2</v>
      </c>
      <c r="C362" s="46" cm="1">
        <f t="array" aca="1" ref="C362" ca="1">_xll.VoseSimValue(MortgageOut,276)</f>
        <v>0.1079750143733432</v>
      </c>
    </row>
    <row r="363" spans="2:3" hidden="1" outlineLevel="1" x14ac:dyDescent="0.45">
      <c r="B363" s="46" cm="1">
        <f t="array" aca="1" ref="B363" ca="1">_xll.VoseSimValue(InterestOut,277)</f>
        <v>6.2717808556792182E-2</v>
      </c>
      <c r="C363" s="46" cm="1">
        <f t="array" aca="1" ref="C363" ca="1">_xll.VoseSimValue(MortgageOut,277)</f>
        <v>0.11116849477100983</v>
      </c>
    </row>
    <row r="364" spans="2:3" hidden="1" outlineLevel="1" x14ac:dyDescent="0.45">
      <c r="B364" s="46" cm="1">
        <f t="array" aca="1" ref="B364" ca="1">_xll.VoseSimValue(InterestOut,278)</f>
        <v>5.8487393668773466E-2</v>
      </c>
      <c r="C364" s="46" cm="1">
        <f t="array" aca="1" ref="C364" ca="1">_xll.VoseSimValue(MortgageOut,278)</f>
        <v>0.10701892929883072</v>
      </c>
    </row>
    <row r="365" spans="2:3" hidden="1" outlineLevel="1" x14ac:dyDescent="0.45">
      <c r="B365" s="46" cm="1">
        <f t="array" aca="1" ref="B365" ca="1">_xll.VoseSimValue(InterestOut,279)</f>
        <v>5.8330963703821737E-2</v>
      </c>
      <c r="C365" s="46" cm="1">
        <f t="array" aca="1" ref="C365" ca="1">_xll.VoseSimValue(MortgageOut,279)</f>
        <v>9.5599294226424755E-2</v>
      </c>
    </row>
    <row r="366" spans="2:3" hidden="1" outlineLevel="1" x14ac:dyDescent="0.45">
      <c r="B366" s="46" cm="1">
        <f t="array" aca="1" ref="B366" ca="1">_xll.VoseSimValue(InterestOut,280)</f>
        <v>4.9378637577205869E-2</v>
      </c>
      <c r="C366" s="46" cm="1">
        <f t="array" aca="1" ref="C366" ca="1">_xll.VoseSimValue(MortgageOut,280)</f>
        <v>0.10768319736601856</v>
      </c>
    </row>
    <row r="367" spans="2:3" hidden="1" outlineLevel="1" x14ac:dyDescent="0.45">
      <c r="B367" s="46" cm="1">
        <f t="array" aca="1" ref="B367" ca="1">_xll.VoseSimValue(InterestOut,281)</f>
        <v>5.2768550509886658E-2</v>
      </c>
      <c r="C367" s="46" cm="1">
        <f t="array" aca="1" ref="C367" ca="1">_xll.VoseSimValue(MortgageOut,281)</f>
        <v>0.1173069197065075</v>
      </c>
    </row>
    <row r="368" spans="2:3" hidden="1" outlineLevel="1" x14ac:dyDescent="0.45">
      <c r="B368" s="46" cm="1">
        <f t="array" aca="1" ref="B368" ca="1">_xll.VoseSimValue(InterestOut,282)</f>
        <v>4.9393592913512127E-2</v>
      </c>
      <c r="C368" s="46" cm="1">
        <f t="array" aca="1" ref="C368" ca="1">_xll.VoseSimValue(MortgageOut,282)</f>
        <v>0.10927995856308954</v>
      </c>
    </row>
    <row r="369" spans="2:3" hidden="1" outlineLevel="1" x14ac:dyDescent="0.45">
      <c r="B369" s="46" cm="1">
        <f t="array" aca="1" ref="B369" ca="1">_xll.VoseSimValue(InterestOut,283)</f>
        <v>4.0863374024614159E-2</v>
      </c>
      <c r="C369" s="46" cm="1">
        <f t="array" aca="1" ref="C369" ca="1">_xll.VoseSimValue(MortgageOut,283)</f>
        <v>8.7376975874246657E-2</v>
      </c>
    </row>
    <row r="370" spans="2:3" hidden="1" outlineLevel="1" x14ac:dyDescent="0.45">
      <c r="B370" s="46" cm="1">
        <f t="array" aca="1" ref="B370" ca="1">_xll.VoseSimValue(InterestOut,284)</f>
        <v>4.7636217748858498E-2</v>
      </c>
      <c r="C370" s="46" cm="1">
        <f t="array" aca="1" ref="C370" ca="1">_xll.VoseSimValue(MortgageOut,284)</f>
        <v>0.10953928716932798</v>
      </c>
    </row>
    <row r="371" spans="2:3" hidden="1" outlineLevel="1" x14ac:dyDescent="0.45">
      <c r="B371" s="46" cm="1">
        <f t="array" aca="1" ref="B371" ca="1">_xll.VoseSimValue(InterestOut,285)</f>
        <v>3.7527945956491844E-2</v>
      </c>
      <c r="C371" s="46" cm="1">
        <f t="array" aca="1" ref="C371" ca="1">_xll.VoseSimValue(MortgageOut,285)</f>
        <v>9.4955457755198466E-2</v>
      </c>
    </row>
    <row r="372" spans="2:3" hidden="1" outlineLevel="1" x14ac:dyDescent="0.45">
      <c r="B372" s="46" cm="1">
        <f t="array" aca="1" ref="B372" ca="1">_xll.VoseSimValue(InterestOut,286)</f>
        <v>4.1468774479974949E-2</v>
      </c>
      <c r="C372" s="46" cm="1">
        <f t="array" aca="1" ref="C372" ca="1">_xll.VoseSimValue(MortgageOut,286)</f>
        <v>0.10319534381781961</v>
      </c>
    </row>
    <row r="373" spans="2:3" hidden="1" outlineLevel="1" x14ac:dyDescent="0.45">
      <c r="B373" s="46" cm="1">
        <f t="array" aca="1" ref="B373" ca="1">_xll.VoseSimValue(InterestOut,287)</f>
        <v>4.029346099253351E-2</v>
      </c>
      <c r="C373" s="46" cm="1">
        <f t="array" aca="1" ref="C373" ca="1">_xll.VoseSimValue(MortgageOut,287)</f>
        <v>8.2677360610057898E-2</v>
      </c>
    </row>
    <row r="374" spans="2:3" hidden="1" outlineLevel="1" x14ac:dyDescent="0.45">
      <c r="B374" s="46" cm="1">
        <f t="array" aca="1" ref="B374" ca="1">_xll.VoseSimValue(InterestOut,288)</f>
        <v>6.6756428274531515E-2</v>
      </c>
      <c r="C374" s="46" cm="1">
        <f t="array" aca="1" ref="C374" ca="1">_xll.VoseSimValue(MortgageOut,288)</f>
        <v>0.10423773646890808</v>
      </c>
    </row>
    <row r="375" spans="2:3" hidden="1" outlineLevel="1" x14ac:dyDescent="0.45">
      <c r="B375" s="46" cm="1">
        <f t="array" aca="1" ref="B375" ca="1">_xll.VoseSimValue(InterestOut,289)</f>
        <v>3.6629349718998741E-2</v>
      </c>
      <c r="C375" s="46" cm="1">
        <f t="array" aca="1" ref="C375" ca="1">_xll.VoseSimValue(MortgageOut,289)</f>
        <v>9.261424334580462E-2</v>
      </c>
    </row>
    <row r="376" spans="2:3" hidden="1" outlineLevel="1" x14ac:dyDescent="0.45">
      <c r="B376" s="46" cm="1">
        <f t="array" aca="1" ref="B376" ca="1">_xll.VoseSimValue(InterestOut,290)</f>
        <v>6.5417168904751577E-2</v>
      </c>
      <c r="C376" s="46" cm="1">
        <f t="array" aca="1" ref="C376" ca="1">_xll.VoseSimValue(MortgageOut,290)</f>
        <v>0.11266637705853436</v>
      </c>
    </row>
    <row r="377" spans="2:3" hidden="1" outlineLevel="1" x14ac:dyDescent="0.45">
      <c r="B377" s="46" cm="1">
        <f t="array" aca="1" ref="B377" ca="1">_xll.VoseSimValue(InterestOut,291)</f>
        <v>3.9742619675961141E-2</v>
      </c>
      <c r="C377" s="46" cm="1">
        <f t="array" aca="1" ref="C377" ca="1">_xll.VoseSimValue(MortgageOut,291)</f>
        <v>0.100813926930822</v>
      </c>
    </row>
    <row r="378" spans="2:3" hidden="1" outlineLevel="1" x14ac:dyDescent="0.45">
      <c r="B378" s="46" cm="1">
        <f t="array" aca="1" ref="B378" ca="1">_xll.VoseSimValue(InterestOut,292)</f>
        <v>5.9511963950439867E-2</v>
      </c>
      <c r="C378" s="46" cm="1">
        <f t="array" aca="1" ref="C378" ca="1">_xll.VoseSimValue(MortgageOut,292)</f>
        <v>0.11458038656009005</v>
      </c>
    </row>
    <row r="379" spans="2:3" hidden="1" outlineLevel="1" x14ac:dyDescent="0.45">
      <c r="B379" s="46" cm="1">
        <f t="array" aca="1" ref="B379" ca="1">_xll.VoseSimValue(InterestOut,293)</f>
        <v>4.3808116171353932E-2</v>
      </c>
      <c r="C379" s="46" cm="1">
        <f t="array" aca="1" ref="C379" ca="1">_xll.VoseSimValue(MortgageOut,293)</f>
        <v>0.1021521089646944</v>
      </c>
    </row>
    <row r="380" spans="2:3" hidden="1" outlineLevel="1" x14ac:dyDescent="0.45">
      <c r="B380" s="46" cm="1">
        <f t="array" aca="1" ref="B380" ca="1">_xll.VoseSimValue(InterestOut,294)</f>
        <v>5.4411984366883742E-2</v>
      </c>
      <c r="C380" s="46" cm="1">
        <f t="array" aca="1" ref="C380" ca="1">_xll.VoseSimValue(MortgageOut,294)</f>
        <v>0.12187969629035847</v>
      </c>
    </row>
    <row r="381" spans="2:3" hidden="1" outlineLevel="1" x14ac:dyDescent="0.45">
      <c r="B381" s="46" cm="1">
        <f t="array" aca="1" ref="B381" ca="1">_xll.VoseSimValue(InterestOut,295)</f>
        <v>5.7243175269477156E-2</v>
      </c>
      <c r="C381" s="46" cm="1">
        <f t="array" aca="1" ref="C381" ca="1">_xll.VoseSimValue(MortgageOut,295)</f>
        <v>0.10636779591338039</v>
      </c>
    </row>
    <row r="382" spans="2:3" hidden="1" outlineLevel="1" x14ac:dyDescent="0.45">
      <c r="B382" s="46" cm="1">
        <f t="array" aca="1" ref="B382" ca="1">_xll.VoseSimValue(InterestOut,296)</f>
        <v>3.605712851941683E-2</v>
      </c>
      <c r="C382" s="46" cm="1">
        <f t="array" aca="1" ref="C382" ca="1">_xll.VoseSimValue(MortgageOut,296)</f>
        <v>7.5889828348518179E-2</v>
      </c>
    </row>
    <row r="383" spans="2:3" hidden="1" outlineLevel="1" x14ac:dyDescent="0.45">
      <c r="B383" s="46" cm="1">
        <f t="array" aca="1" ref="B383" ca="1">_xll.VoseSimValue(InterestOut,297)</f>
        <v>5.2862072883886529E-2</v>
      </c>
      <c r="C383" s="46" cm="1">
        <f t="array" aca="1" ref="C383" ca="1">_xll.VoseSimValue(MortgageOut,297)</f>
        <v>0.11248694112251031</v>
      </c>
    </row>
    <row r="384" spans="2:3" hidden="1" outlineLevel="1" x14ac:dyDescent="0.45">
      <c r="B384" s="46" cm="1">
        <f t="array" aca="1" ref="B384" ca="1">_xll.VoseSimValue(InterestOut,298)</f>
        <v>5.5490146177958173E-2</v>
      </c>
      <c r="C384" s="46" cm="1">
        <f t="array" aca="1" ref="C384" ca="1">_xll.VoseSimValue(MortgageOut,298)</f>
        <v>0.10598495266212171</v>
      </c>
    </row>
    <row r="385" spans="2:3" hidden="1" outlineLevel="1" x14ac:dyDescent="0.45">
      <c r="B385" s="46" cm="1">
        <f t="array" aca="1" ref="B385" ca="1">_xll.VoseSimValue(InterestOut,299)</f>
        <v>3.3918418633348636E-2</v>
      </c>
      <c r="C385" s="46" cm="1">
        <f t="array" aca="1" ref="C385" ca="1">_xll.VoseSimValue(MortgageOut,299)</f>
        <v>7.5404542947547268E-2</v>
      </c>
    </row>
    <row r="386" spans="2:3" hidden="1" outlineLevel="1" x14ac:dyDescent="0.45">
      <c r="B386" s="46" cm="1">
        <f t="array" aca="1" ref="B386" ca="1">_xll.VoseSimValue(InterestOut,300)</f>
        <v>4.0614843804628147E-2</v>
      </c>
      <c r="C386" s="46" cm="1">
        <f t="array" aca="1" ref="C386" ca="1">_xll.VoseSimValue(MortgageOut,300)</f>
        <v>9.3429284228232476E-2</v>
      </c>
    </row>
    <row r="387" spans="2:3" hidden="1" outlineLevel="1" x14ac:dyDescent="0.45">
      <c r="B387" s="46" cm="1">
        <f t="array" aca="1" ref="B387" ca="1">_xll.VoseSimValue(InterestOut,301)</f>
        <v>3.815290750389936E-2</v>
      </c>
      <c r="C387" s="46" cm="1">
        <f t="array" aca="1" ref="C387" ca="1">_xll.VoseSimValue(MortgageOut,301)</f>
        <v>8.5051678945191111E-2</v>
      </c>
    </row>
    <row r="388" spans="2:3" hidden="1" outlineLevel="1" x14ac:dyDescent="0.45">
      <c r="B388" s="46" cm="1">
        <f t="array" aca="1" ref="B388" ca="1">_xll.VoseSimValue(InterestOut,302)</f>
        <v>4.5795661163176751E-2</v>
      </c>
      <c r="C388" s="46" cm="1">
        <f t="array" aca="1" ref="C388" ca="1">_xll.VoseSimValue(MortgageOut,302)</f>
        <v>0.10226831947089902</v>
      </c>
    </row>
    <row r="389" spans="2:3" hidden="1" outlineLevel="1" x14ac:dyDescent="0.45">
      <c r="B389" s="46" cm="1">
        <f t="array" aca="1" ref="B389" ca="1">_xll.VoseSimValue(InterestOut,303)</f>
        <v>6.9311745314512729E-2</v>
      </c>
      <c r="C389" s="46" cm="1">
        <f t="array" aca="1" ref="C389" ca="1">_xll.VoseSimValue(MortgageOut,303)</f>
        <v>0.11991604908631821</v>
      </c>
    </row>
    <row r="390" spans="2:3" hidden="1" outlineLevel="1" x14ac:dyDescent="0.45">
      <c r="B390" s="46" cm="1">
        <f t="array" aca="1" ref="B390" ca="1">_xll.VoseSimValue(InterestOut,304)</f>
        <v>4.7607090336182024E-2</v>
      </c>
      <c r="C390" s="46" cm="1">
        <f t="array" aca="1" ref="C390" ca="1">_xll.VoseSimValue(MortgageOut,304)</f>
        <v>9.5061360811742379E-2</v>
      </c>
    </row>
    <row r="391" spans="2:3" hidden="1" outlineLevel="1" x14ac:dyDescent="0.45">
      <c r="B391" s="46" cm="1">
        <f t="array" aca="1" ref="B391" ca="1">_xll.VoseSimValue(InterestOut,305)</f>
        <v>5.3088259919040315E-2</v>
      </c>
      <c r="C391" s="46" cm="1">
        <f t="array" aca="1" ref="C391" ca="1">_xll.VoseSimValue(MortgageOut,305)</f>
        <v>0.1182425648813418</v>
      </c>
    </row>
    <row r="392" spans="2:3" hidden="1" outlineLevel="1" x14ac:dyDescent="0.45">
      <c r="B392" s="46" cm="1">
        <f t="array" aca="1" ref="B392" ca="1">_xll.VoseSimValue(InterestOut,306)</f>
        <v>4.5240335648086112E-2</v>
      </c>
      <c r="C392" s="46" cm="1">
        <f t="array" aca="1" ref="C392" ca="1">_xll.VoseSimValue(MortgageOut,306)</f>
        <v>0.10757387073330865</v>
      </c>
    </row>
    <row r="393" spans="2:3" hidden="1" outlineLevel="1" x14ac:dyDescent="0.45">
      <c r="B393" s="46" cm="1">
        <f t="array" aca="1" ref="B393" ca="1">_xll.VoseSimValue(InterestOut,307)</f>
        <v>4.3118322758004417E-2</v>
      </c>
      <c r="C393" s="46" cm="1">
        <f t="array" aca="1" ref="C393" ca="1">_xll.VoseSimValue(MortgageOut,307)</f>
        <v>8.5403676539323264E-2</v>
      </c>
    </row>
    <row r="394" spans="2:3" hidden="1" outlineLevel="1" x14ac:dyDescent="0.45">
      <c r="B394" s="46" cm="1">
        <f t="array" aca="1" ref="B394" ca="1">_xll.VoseSimValue(InterestOut,308)</f>
        <v>3.8251109292206563E-2</v>
      </c>
      <c r="C394" s="46" cm="1">
        <f t="array" aca="1" ref="C394" ca="1">_xll.VoseSimValue(MortgageOut,308)</f>
        <v>8.9683904731063357E-2</v>
      </c>
    </row>
    <row r="395" spans="2:3" hidden="1" outlineLevel="1" x14ac:dyDescent="0.45">
      <c r="B395" s="46" cm="1">
        <f t="array" aca="1" ref="B395" ca="1">_xll.VoseSimValue(InterestOut,309)</f>
        <v>4.4597848184736458E-2</v>
      </c>
      <c r="C395" s="46" cm="1">
        <f t="array" aca="1" ref="C395" ca="1">_xll.VoseSimValue(MortgageOut,309)</f>
        <v>0.10832749672801514</v>
      </c>
    </row>
    <row r="396" spans="2:3" hidden="1" outlineLevel="1" x14ac:dyDescent="0.45">
      <c r="B396" s="46" cm="1">
        <f t="array" aca="1" ref="B396" ca="1">_xll.VoseSimValue(InterestOut,310)</f>
        <v>4.1426655890659608E-2</v>
      </c>
      <c r="C396" s="46" cm="1">
        <f t="array" aca="1" ref="C396" ca="1">_xll.VoseSimValue(MortgageOut,310)</f>
        <v>9.8659870699016508E-2</v>
      </c>
    </row>
    <row r="397" spans="2:3" hidden="1" outlineLevel="1" x14ac:dyDescent="0.45">
      <c r="B397" s="46" cm="1">
        <f t="array" aca="1" ref="B397" ca="1">_xll.VoseSimValue(InterestOut,311)</f>
        <v>5.8223231970374517E-2</v>
      </c>
      <c r="C397" s="46" cm="1">
        <f t="array" aca="1" ref="C397" ca="1">_xll.VoseSimValue(MortgageOut,311)</f>
        <v>0.12078371099270985</v>
      </c>
    </row>
    <row r="398" spans="2:3" hidden="1" outlineLevel="1" x14ac:dyDescent="0.45">
      <c r="B398" s="46" cm="1">
        <f t="array" aca="1" ref="B398" ca="1">_xll.VoseSimValue(InterestOut,312)</f>
        <v>4.1755458168477602E-2</v>
      </c>
      <c r="C398" s="46" cm="1">
        <f t="array" aca="1" ref="C398" ca="1">_xll.VoseSimValue(MortgageOut,312)</f>
        <v>9.8370351531221409E-2</v>
      </c>
    </row>
    <row r="399" spans="2:3" hidden="1" outlineLevel="1" x14ac:dyDescent="0.45">
      <c r="B399" s="46" cm="1">
        <f t="array" aca="1" ref="B399" ca="1">_xll.VoseSimValue(InterestOut,313)</f>
        <v>4.2869965708986379E-2</v>
      </c>
      <c r="C399" s="46" cm="1">
        <f t="array" aca="1" ref="C399" ca="1">_xll.VoseSimValue(MortgageOut,313)</f>
        <v>0.11146896642584916</v>
      </c>
    </row>
    <row r="400" spans="2:3" hidden="1" outlineLevel="1" x14ac:dyDescent="0.45">
      <c r="B400" s="46" cm="1">
        <f t="array" aca="1" ref="B400" ca="1">_xll.VoseSimValue(InterestOut,314)</f>
        <v>6.6864424903088943E-2</v>
      </c>
      <c r="C400" s="46" cm="1">
        <f t="array" aca="1" ref="C400" ca="1">_xll.VoseSimValue(MortgageOut,314)</f>
        <v>0.12381504327673257</v>
      </c>
    </row>
    <row r="401" spans="2:3" hidden="1" outlineLevel="1" x14ac:dyDescent="0.45">
      <c r="B401" s="46" cm="1">
        <f t="array" aca="1" ref="B401" ca="1">_xll.VoseSimValue(InterestOut,315)</f>
        <v>5.3448093368457503E-2</v>
      </c>
      <c r="C401" s="46" cm="1">
        <f t="array" aca="1" ref="C401" ca="1">_xll.VoseSimValue(MortgageOut,315)</f>
        <v>0.10278517942346416</v>
      </c>
    </row>
    <row r="402" spans="2:3" hidden="1" outlineLevel="1" x14ac:dyDescent="0.45">
      <c r="B402" s="46" cm="1">
        <f t="array" aca="1" ref="B402" ca="1">_xll.VoseSimValue(InterestOut,316)</f>
        <v>4.7882375908835359E-2</v>
      </c>
      <c r="C402" s="46" cm="1">
        <f t="array" aca="1" ref="C402" ca="1">_xll.VoseSimValue(MortgageOut,316)</f>
        <v>0.1223016626756894</v>
      </c>
    </row>
    <row r="403" spans="2:3" hidden="1" outlineLevel="1" x14ac:dyDescent="0.45">
      <c r="B403" s="46" cm="1">
        <f t="array" aca="1" ref="B403" ca="1">_xll.VoseSimValue(InterestOut,317)</f>
        <v>6.9610288346745972E-2</v>
      </c>
      <c r="C403" s="46" cm="1">
        <f t="array" aca="1" ref="C403" ca="1">_xll.VoseSimValue(MortgageOut,317)</f>
        <v>0.11280215916193422</v>
      </c>
    </row>
    <row r="404" spans="2:3" hidden="1" outlineLevel="1" x14ac:dyDescent="0.45">
      <c r="B404" s="46" cm="1">
        <f t="array" aca="1" ref="B404" ca="1">_xll.VoseSimValue(InterestOut,318)</f>
        <v>3.6965101090299837E-2</v>
      </c>
      <c r="C404" s="46" cm="1">
        <f t="array" aca="1" ref="C404" ca="1">_xll.VoseSimValue(MortgageOut,318)</f>
        <v>7.9284604730394739E-2</v>
      </c>
    </row>
    <row r="405" spans="2:3" hidden="1" outlineLevel="1" x14ac:dyDescent="0.45">
      <c r="B405" s="46" cm="1">
        <f t="array" aca="1" ref="B405" ca="1">_xll.VoseSimValue(InterestOut,319)</f>
        <v>6.1992435257395215E-2</v>
      </c>
      <c r="C405" s="46" cm="1">
        <f t="array" aca="1" ref="C405" ca="1">_xll.VoseSimValue(MortgageOut,319)</f>
        <v>0.1071132647070922</v>
      </c>
    </row>
    <row r="406" spans="2:3" hidden="1" outlineLevel="1" x14ac:dyDescent="0.45">
      <c r="B406" s="46" cm="1">
        <f t="array" aca="1" ref="B406" ca="1">_xll.VoseSimValue(InterestOut,320)</f>
        <v>5.812991199455414E-2</v>
      </c>
      <c r="C406" s="46" cm="1">
        <f t="array" aca="1" ref="C406" ca="1">_xll.VoseSimValue(MortgageOut,320)</f>
        <v>0.12145613881459057</v>
      </c>
    </row>
    <row r="407" spans="2:3" hidden="1" outlineLevel="1" x14ac:dyDescent="0.45">
      <c r="B407" s="46" cm="1">
        <f t="array" aca="1" ref="B407" ca="1">_xll.VoseSimValue(InterestOut,321)</f>
        <v>4.4231147865642993E-2</v>
      </c>
      <c r="C407" s="46" cm="1">
        <f t="array" aca="1" ref="C407" ca="1">_xll.VoseSimValue(MortgageOut,321)</f>
        <v>0.10586644064220538</v>
      </c>
    </row>
    <row r="408" spans="2:3" hidden="1" outlineLevel="1" x14ac:dyDescent="0.45">
      <c r="B408" s="46" cm="1">
        <f t="array" aca="1" ref="B408" ca="1">_xll.VoseSimValue(InterestOut,322)</f>
        <v>4.5916049270023074E-2</v>
      </c>
      <c r="C408" s="46" cm="1">
        <f t="array" aca="1" ref="C408" ca="1">_xll.VoseSimValue(MortgageOut,322)</f>
        <v>9.3074745077237592E-2</v>
      </c>
    </row>
    <row r="409" spans="2:3" hidden="1" outlineLevel="1" x14ac:dyDescent="0.45">
      <c r="B409" s="46" cm="1">
        <f t="array" aca="1" ref="B409" ca="1">_xll.VoseSimValue(InterestOut,323)</f>
        <v>5.1109448752026165E-2</v>
      </c>
      <c r="C409" s="46" cm="1">
        <f t="array" aca="1" ref="C409" ca="1">_xll.VoseSimValue(MortgageOut,323)</f>
        <v>0.12114195443559818</v>
      </c>
    </row>
    <row r="410" spans="2:3" hidden="1" outlineLevel="1" x14ac:dyDescent="0.45">
      <c r="B410" s="46" cm="1">
        <f t="array" aca="1" ref="B410" ca="1">_xll.VoseSimValue(InterestOut,324)</f>
        <v>4.3151682489665895E-2</v>
      </c>
      <c r="C410" s="46" cm="1">
        <f t="array" aca="1" ref="C410" ca="1">_xll.VoseSimValue(MortgageOut,324)</f>
        <v>8.3492358841635028E-2</v>
      </c>
    </row>
    <row r="411" spans="2:3" hidden="1" outlineLevel="1" x14ac:dyDescent="0.45">
      <c r="B411" s="46" cm="1">
        <f t="array" aca="1" ref="B411" ca="1">_xll.VoseSimValue(InterestOut,325)</f>
        <v>5.4513370023074749E-2</v>
      </c>
      <c r="C411" s="46" cm="1">
        <f t="array" aca="1" ref="C411" ca="1">_xll.VoseSimValue(MortgageOut,325)</f>
        <v>0.11342619436022819</v>
      </c>
    </row>
    <row r="412" spans="2:3" hidden="1" outlineLevel="1" x14ac:dyDescent="0.45">
      <c r="B412" s="46" cm="1">
        <f t="array" aca="1" ref="B412" ca="1">_xll.VoseSimValue(InterestOut,326)</f>
        <v>7.1138186476242204E-2</v>
      </c>
      <c r="C412" s="46" cm="1">
        <f t="array" aca="1" ref="C412" ca="1">_xll.VoseSimValue(MortgageOut,326)</f>
        <v>0.11722520221820329</v>
      </c>
    </row>
    <row r="413" spans="2:3" hidden="1" outlineLevel="1" x14ac:dyDescent="0.45">
      <c r="B413" s="46" cm="1">
        <f t="array" aca="1" ref="B413" ca="1">_xll.VoseSimValue(InterestOut,327)</f>
        <v>6.1263317560071799E-2</v>
      </c>
      <c r="C413" s="46" cm="1">
        <f t="array" aca="1" ref="C413" ca="1">_xll.VoseSimValue(MortgageOut,327)</f>
        <v>0.11404763158455206</v>
      </c>
    </row>
    <row r="414" spans="2:3" hidden="1" outlineLevel="1" x14ac:dyDescent="0.45">
      <c r="B414" s="46" cm="1">
        <f t="array" aca="1" ref="B414" ca="1">_xll.VoseSimValue(InterestOut,328)</f>
        <v>6.4128905526176436E-2</v>
      </c>
      <c r="C414" s="46" cm="1">
        <f t="array" aca="1" ref="C414" ca="1">_xll.VoseSimValue(MortgageOut,328)</f>
        <v>0.12397582639422902</v>
      </c>
    </row>
    <row r="415" spans="2:3" hidden="1" outlineLevel="1" x14ac:dyDescent="0.45">
      <c r="B415" s="46" cm="1">
        <f t="array" aca="1" ref="B415" ca="1">_xll.VoseSimValue(InterestOut,329)</f>
        <v>4.158908002766077E-2</v>
      </c>
      <c r="C415" s="46" cm="1">
        <f t="array" aca="1" ref="C415" ca="1">_xll.VoseSimValue(MortgageOut,329)</f>
        <v>8.8048195584013583E-2</v>
      </c>
    </row>
    <row r="416" spans="2:3" hidden="1" outlineLevel="1" x14ac:dyDescent="0.45">
      <c r="B416" s="46" cm="1">
        <f t="array" aca="1" ref="B416" ca="1">_xll.VoseSimValue(InterestOut,330)</f>
        <v>5.873631241091648E-2</v>
      </c>
      <c r="C416" s="46" cm="1">
        <f t="array" aca="1" ref="C416" ca="1">_xll.VoseSimValue(MortgageOut,330)</f>
        <v>0.10392562355942103</v>
      </c>
    </row>
    <row r="417" spans="2:3" hidden="1" outlineLevel="1" x14ac:dyDescent="0.45">
      <c r="B417" s="46" cm="1">
        <f t="array" aca="1" ref="B417" ca="1">_xll.VoseSimValue(InterestOut,331)</f>
        <v>3.4599427837208319E-2</v>
      </c>
      <c r="C417" s="46" cm="1">
        <f t="array" aca="1" ref="C417" ca="1">_xll.VoseSimValue(MortgageOut,331)</f>
        <v>9.3980718568875937E-2</v>
      </c>
    </row>
    <row r="418" spans="2:3" hidden="1" outlineLevel="1" x14ac:dyDescent="0.45">
      <c r="B418" s="46" cm="1">
        <f t="array" aca="1" ref="B418" ca="1">_xll.VoseSimValue(InterestOut,332)</f>
        <v>5.5397771488336967E-2</v>
      </c>
      <c r="C418" s="46" cm="1">
        <f t="array" aca="1" ref="C418" ca="1">_xll.VoseSimValue(MortgageOut,332)</f>
        <v>0.11434772732568577</v>
      </c>
    </row>
    <row r="419" spans="2:3" hidden="1" outlineLevel="1" x14ac:dyDescent="0.45">
      <c r="B419" s="46" cm="1">
        <f t="array" aca="1" ref="B419" ca="1">_xll.VoseSimValue(InterestOut,333)</f>
        <v>3.8055487264464068E-2</v>
      </c>
      <c r="C419" s="46" cm="1">
        <f t="array" aca="1" ref="C419" ca="1">_xll.VoseSimValue(MortgageOut,333)</f>
        <v>9.9795428198833275E-2</v>
      </c>
    </row>
    <row r="420" spans="2:3" hidden="1" outlineLevel="1" x14ac:dyDescent="0.45">
      <c r="B420" s="46" cm="1">
        <f t="array" aca="1" ref="B420" ca="1">_xll.VoseSimValue(InterestOut,334)</f>
        <v>3.6311594805283856E-2</v>
      </c>
      <c r="C420" s="46" cm="1">
        <f t="array" aca="1" ref="C420" ca="1">_xll.VoseSimValue(MortgageOut,334)</f>
        <v>7.2017082175586139E-2</v>
      </c>
    </row>
    <row r="421" spans="2:3" hidden="1" outlineLevel="1" x14ac:dyDescent="0.45">
      <c r="B421" s="46" cm="1">
        <f t="array" aca="1" ref="B421" ca="1">_xll.VoseSimValue(InterestOut,335)</f>
        <v>5.091415492583562E-2</v>
      </c>
      <c r="C421" s="46" cm="1">
        <f t="array" aca="1" ref="C421" ca="1">_xll.VoseSimValue(MortgageOut,335)</f>
        <v>9.0353615846670149E-2</v>
      </c>
    </row>
    <row r="422" spans="2:3" hidden="1" outlineLevel="1" x14ac:dyDescent="0.45">
      <c r="B422" s="46" cm="1">
        <f t="array" aca="1" ref="B422" ca="1">_xll.VoseSimValue(InterestOut,336)</f>
        <v>6.0676840720821246E-2</v>
      </c>
      <c r="C422" s="46" cm="1">
        <f t="array" aca="1" ref="C422" ca="1">_xll.VoseSimValue(MortgageOut,336)</f>
        <v>0.12933564738435449</v>
      </c>
    </row>
    <row r="423" spans="2:3" hidden="1" outlineLevel="1" x14ac:dyDescent="0.45">
      <c r="B423" s="46" cm="1">
        <f t="array" aca="1" ref="B423" ca="1">_xll.VoseSimValue(InterestOut,337)</f>
        <v>5.4133925853602952E-2</v>
      </c>
      <c r="C423" s="46" cm="1">
        <f t="array" aca="1" ref="C423" ca="1">_xll.VoseSimValue(MortgageOut,337)</f>
        <v>9.8653591306870847E-2</v>
      </c>
    </row>
    <row r="424" spans="2:3" hidden="1" outlineLevel="1" x14ac:dyDescent="0.45">
      <c r="B424" s="46" cm="1">
        <f t="array" aca="1" ref="B424" ca="1">_xll.VoseSimValue(InterestOut,338)</f>
        <v>5.8844768396958069E-2</v>
      </c>
      <c r="C424" s="46" cm="1">
        <f t="array" aca="1" ref="C424" ca="1">_xll.VoseSimValue(MortgageOut,338)</f>
        <v>0.10808191352576275</v>
      </c>
    </row>
    <row r="425" spans="2:3" hidden="1" outlineLevel="1" x14ac:dyDescent="0.45">
      <c r="B425" s="46" cm="1">
        <f t="array" aca="1" ref="B425" ca="1">_xll.VoseSimValue(InterestOut,339)</f>
        <v>5.3108569921035943E-2</v>
      </c>
      <c r="C425" s="46" cm="1">
        <f t="array" aca="1" ref="C425" ca="1">_xll.VoseSimValue(MortgageOut,339)</f>
        <v>0.1163855299284189</v>
      </c>
    </row>
    <row r="426" spans="2:3" hidden="1" outlineLevel="1" x14ac:dyDescent="0.45">
      <c r="B426" s="46" cm="1">
        <f t="array" aca="1" ref="B426" ca="1">_xll.VoseSimValue(InterestOut,340)</f>
        <v>5.0099018250870167E-2</v>
      </c>
      <c r="C426" s="46" cm="1">
        <f t="array" aca="1" ref="C426" ca="1">_xll.VoseSimValue(MortgageOut,340)</f>
        <v>0.11179951255437626</v>
      </c>
    </row>
    <row r="427" spans="2:3" hidden="1" outlineLevel="1" x14ac:dyDescent="0.45">
      <c r="B427" s="46" cm="1">
        <f t="array" aca="1" ref="B427" ca="1">_xll.VoseSimValue(InterestOut,341)</f>
        <v>4.6431796881522644E-2</v>
      </c>
      <c r="C427" s="46" cm="1">
        <f t="array" aca="1" ref="C427" ca="1">_xll.VoseSimValue(MortgageOut,341)</f>
        <v>0.10926610568317027</v>
      </c>
    </row>
    <row r="428" spans="2:3" hidden="1" outlineLevel="1" x14ac:dyDescent="0.45">
      <c r="B428" s="46" cm="1">
        <f t="array" aca="1" ref="B428" ca="1">_xll.VoseSimValue(InterestOut,342)</f>
        <v>5.2115910661025812E-2</v>
      </c>
      <c r="C428" s="46" cm="1">
        <f t="array" aca="1" ref="C428" ca="1">_xll.VoseSimValue(MortgageOut,342)</f>
        <v>0.11143711464377672</v>
      </c>
    </row>
    <row r="429" spans="2:3" hidden="1" outlineLevel="1" x14ac:dyDescent="0.45">
      <c r="B429" s="46" cm="1">
        <f t="array" aca="1" ref="B429" ca="1">_xll.VoseSimValue(InterestOut,343)</f>
        <v>7.2363939597502744E-2</v>
      </c>
      <c r="C429" s="46" cm="1">
        <f t="array" aca="1" ref="C429" ca="1">_xll.VoseSimValue(MortgageOut,343)</f>
        <v>0.11931783651371164</v>
      </c>
    </row>
    <row r="430" spans="2:3" hidden="1" outlineLevel="1" x14ac:dyDescent="0.45">
      <c r="B430" s="46" cm="1">
        <f t="array" aca="1" ref="B430" ca="1">_xll.VoseSimValue(InterestOut,344)</f>
        <v>3.9817669471527602E-2</v>
      </c>
      <c r="C430" s="46" cm="1">
        <f t="array" aca="1" ref="C430" ca="1">_xll.VoseSimValue(MortgageOut,344)</f>
        <v>9.4098325360972151E-2</v>
      </c>
    </row>
    <row r="431" spans="2:3" hidden="1" outlineLevel="1" x14ac:dyDescent="0.45">
      <c r="B431" s="46" cm="1">
        <f t="array" aca="1" ref="B431" ca="1">_xll.VoseSimValue(InterestOut,345)</f>
        <v>5.3404149840820939E-2</v>
      </c>
      <c r="C431" s="46" cm="1">
        <f t="array" aca="1" ref="C431" ca="1">_xll.VoseSimValue(MortgageOut,345)</f>
        <v>0.1000529442756498</v>
      </c>
    </row>
    <row r="432" spans="2:3" hidden="1" outlineLevel="1" x14ac:dyDescent="0.45">
      <c r="B432" s="46" cm="1">
        <f t="array" aca="1" ref="B432" ca="1">_xll.VoseSimValue(InterestOut,346)</f>
        <v>4.1210453064976331E-2</v>
      </c>
      <c r="C432" s="46" cm="1">
        <f t="array" aca="1" ref="C432" ca="1">_xll.VoseSimValue(MortgageOut,346)</f>
        <v>8.6027016465902245E-2</v>
      </c>
    </row>
    <row r="433" spans="2:3" hidden="1" outlineLevel="1" x14ac:dyDescent="0.45">
      <c r="B433" s="46" cm="1">
        <f t="array" aca="1" ref="B433" ca="1">_xll.VoseSimValue(InterestOut,347)</f>
        <v>4.8121749078250717E-2</v>
      </c>
      <c r="C433" s="46" cm="1">
        <f t="array" aca="1" ref="C433" ca="1">_xll.VoseSimValue(MortgageOut,347)</f>
        <v>9.8981169705756544E-2</v>
      </c>
    </row>
    <row r="434" spans="2:3" hidden="1" outlineLevel="1" x14ac:dyDescent="0.45">
      <c r="B434" s="46" cm="1">
        <f t="array" aca="1" ref="B434" ca="1">_xll.VoseSimValue(InterestOut,348)</f>
        <v>5.1505404117946851E-2</v>
      </c>
      <c r="C434" s="46" cm="1">
        <f t="array" aca="1" ref="C434" ca="1">_xll.VoseSimValue(MortgageOut,348)</f>
        <v>0.10292639988896407</v>
      </c>
    </row>
    <row r="435" spans="2:3" hidden="1" outlineLevel="1" x14ac:dyDescent="0.45">
      <c r="B435" s="46" cm="1">
        <f t="array" aca="1" ref="B435" ca="1">_xll.VoseSimValue(InterestOut,349)</f>
        <v>5.2626495699301674E-2</v>
      </c>
      <c r="C435" s="46" cm="1">
        <f t="array" aca="1" ref="C435" ca="1">_xll.VoseSimValue(MortgageOut,349)</f>
        <v>0.10677221355032497</v>
      </c>
    </row>
    <row r="436" spans="2:3" hidden="1" outlineLevel="1" x14ac:dyDescent="0.45">
      <c r="B436" s="46" cm="1">
        <f t="array" aca="1" ref="B436" ca="1">_xll.VoseSimValue(InterestOut,350)</f>
        <v>4.3501692883927322E-2</v>
      </c>
      <c r="C436" s="46" cm="1">
        <f t="array" aca="1" ref="C436" ca="1">_xll.VoseSimValue(MortgageOut,350)</f>
        <v>9.9451116600138834E-2</v>
      </c>
    </row>
    <row r="437" spans="2:3" hidden="1" outlineLevel="1" x14ac:dyDescent="0.45">
      <c r="B437" s="46" cm="1">
        <f t="array" aca="1" ref="B437" ca="1">_xll.VoseSimValue(InterestOut,351)</f>
        <v>5.8272466241557436E-2</v>
      </c>
      <c r="C437" s="46" cm="1">
        <f t="array" aca="1" ref="C437" ca="1">_xll.VoseSimValue(MortgageOut,351)</f>
        <v>9.7423415156330434E-2</v>
      </c>
    </row>
    <row r="438" spans="2:3" hidden="1" outlineLevel="1" x14ac:dyDescent="0.45">
      <c r="B438" s="46" cm="1">
        <f t="array" aca="1" ref="B438" ca="1">_xll.VoseSimValue(InterestOut,352)</f>
        <v>6.5419176467308021E-2</v>
      </c>
      <c r="C438" s="46" cm="1">
        <f t="array" aca="1" ref="C438" ca="1">_xll.VoseSimValue(MortgageOut,352)</f>
        <v>0.1276630830849359</v>
      </c>
    </row>
    <row r="439" spans="2:3" hidden="1" outlineLevel="1" x14ac:dyDescent="0.45">
      <c r="B439" s="46" cm="1">
        <f t="array" aca="1" ref="B439" ca="1">_xll.VoseSimValue(InterestOut,353)</f>
        <v>5.5924174423429937E-2</v>
      </c>
      <c r="C439" s="46" cm="1">
        <f t="array" aca="1" ref="C439" ca="1">_xll.VoseSimValue(MortgageOut,353)</f>
        <v>0.11972854575138647</v>
      </c>
    </row>
    <row r="440" spans="2:3" hidden="1" outlineLevel="1" x14ac:dyDescent="0.45">
      <c r="B440" s="46" cm="1">
        <f t="array" aca="1" ref="B440" ca="1">_xll.VoseSimValue(InterestOut,354)</f>
        <v>5.0279137002862129E-2</v>
      </c>
      <c r="C440" s="46" cm="1">
        <f t="array" aca="1" ref="C440" ca="1">_xll.VoseSimValue(MortgageOut,354)</f>
        <v>0.11178733613053773</v>
      </c>
    </row>
    <row r="441" spans="2:3" hidden="1" outlineLevel="1" x14ac:dyDescent="0.45">
      <c r="B441" s="46" cm="1">
        <f t="array" aca="1" ref="B441" ca="1">_xll.VoseSimValue(InterestOut,355)</f>
        <v>4.4962336209277726E-2</v>
      </c>
      <c r="C441" s="46" cm="1">
        <f t="array" aca="1" ref="C441" ca="1">_xll.VoseSimValue(MortgageOut,355)</f>
        <v>9.8268344430379337E-2</v>
      </c>
    </row>
    <row r="442" spans="2:3" hidden="1" outlineLevel="1" x14ac:dyDescent="0.45">
      <c r="B442" s="46" cm="1">
        <f t="array" aca="1" ref="B442" ca="1">_xll.VoseSimValue(InterestOut,356)</f>
        <v>4.0708328891298856E-2</v>
      </c>
      <c r="C442" s="46" cm="1">
        <f t="array" aca="1" ref="C442" ca="1">_xll.VoseSimValue(MortgageOut,356)</f>
        <v>8.9599303056109081E-2</v>
      </c>
    </row>
    <row r="443" spans="2:3" hidden="1" outlineLevel="1" x14ac:dyDescent="0.45">
      <c r="B443" s="46" cm="1">
        <f t="array" aca="1" ref="B443" ca="1">_xll.VoseSimValue(InterestOut,357)</f>
        <v>3.7867709047288561E-2</v>
      </c>
      <c r="C443" s="46" cm="1">
        <f t="array" aca="1" ref="C443" ca="1">_xll.VoseSimValue(MortgageOut,357)</f>
        <v>9.6343617311281091E-2</v>
      </c>
    </row>
    <row r="444" spans="2:3" hidden="1" outlineLevel="1" x14ac:dyDescent="0.45">
      <c r="B444" s="46" cm="1">
        <f t="array" aca="1" ref="B444" ca="1">_xll.VoseSimValue(InterestOut,358)</f>
        <v>5.8901158636905579E-2</v>
      </c>
      <c r="C444" s="46" cm="1">
        <f t="array" aca="1" ref="C444" ca="1">_xll.VoseSimValue(MortgageOut,358)</f>
        <v>0.10948713346119601</v>
      </c>
    </row>
    <row r="445" spans="2:3" hidden="1" outlineLevel="1" x14ac:dyDescent="0.45">
      <c r="B445" s="46" cm="1">
        <f t="array" aca="1" ref="B445" ca="1">_xll.VoseSimValue(InterestOut,359)</f>
        <v>4.7854426612193954E-2</v>
      </c>
      <c r="C445" s="46" cm="1">
        <f t="array" aca="1" ref="C445" ca="1">_xll.VoseSimValue(MortgageOut,359)</f>
        <v>9.2884466160840701E-2</v>
      </c>
    </row>
    <row r="446" spans="2:3" hidden="1" outlineLevel="1" x14ac:dyDescent="0.45">
      <c r="B446" s="46" cm="1">
        <f t="array" aca="1" ref="B446" ca="1">_xll.VoseSimValue(InterestOut,360)</f>
        <v>4.3411926225759956E-2</v>
      </c>
      <c r="C446" s="46" cm="1">
        <f t="array" aca="1" ref="C446" ca="1">_xll.VoseSimValue(MortgageOut,360)</f>
        <v>8.3738132804591692E-2</v>
      </c>
    </row>
    <row r="447" spans="2:3" hidden="1" outlineLevel="1" x14ac:dyDescent="0.45">
      <c r="B447" s="46" cm="1">
        <f t="array" aca="1" ref="B447" ca="1">_xll.VoseSimValue(InterestOut,361)</f>
        <v>5.47877631190858E-2</v>
      </c>
      <c r="C447" s="46" cm="1">
        <f t="array" aca="1" ref="C447" ca="1">_xll.VoseSimValue(MortgageOut,361)</f>
        <v>0.12546741815541493</v>
      </c>
    </row>
    <row r="448" spans="2:3" hidden="1" outlineLevel="1" x14ac:dyDescent="0.45">
      <c r="B448" s="46" cm="1">
        <f t="array" aca="1" ref="B448" ca="1">_xll.VoseSimValue(InterestOut,362)</f>
        <v>3.8265249294053109E-2</v>
      </c>
      <c r="C448" s="46" cm="1">
        <f t="array" aca="1" ref="C448" ca="1">_xll.VoseSimValue(MortgageOut,362)</f>
        <v>8.8309097945146686E-2</v>
      </c>
    </row>
    <row r="449" spans="2:3" hidden="1" outlineLevel="1" x14ac:dyDescent="0.45">
      <c r="B449" s="46" cm="1">
        <f t="array" aca="1" ref="B449" ca="1">_xll.VoseSimValue(InterestOut,363)</f>
        <v>4.3332786313110945E-2</v>
      </c>
      <c r="C449" s="46" cm="1">
        <f t="array" aca="1" ref="C449" ca="1">_xll.VoseSimValue(MortgageOut,363)</f>
        <v>0.10229512134364488</v>
      </c>
    </row>
    <row r="450" spans="2:3" hidden="1" outlineLevel="1" x14ac:dyDescent="0.45">
      <c r="B450" s="46" cm="1">
        <f t="array" aca="1" ref="B450" ca="1">_xll.VoseSimValue(InterestOut,364)</f>
        <v>3.9235069422243564E-2</v>
      </c>
      <c r="C450" s="46" cm="1">
        <f t="array" aca="1" ref="C450" ca="1">_xll.VoseSimValue(MortgageOut,364)</f>
        <v>0.10063148283677348</v>
      </c>
    </row>
    <row r="451" spans="2:3" hidden="1" outlineLevel="1" x14ac:dyDescent="0.45">
      <c r="B451" s="46" cm="1">
        <f t="array" aca="1" ref="B451" ca="1">_xll.VoseSimValue(InterestOut,365)</f>
        <v>5.8516600568745358E-2</v>
      </c>
      <c r="C451" s="46" cm="1">
        <f t="array" aca="1" ref="C451" ca="1">_xll.VoseSimValue(MortgageOut,365)</f>
        <v>0.10714341327014708</v>
      </c>
    </row>
    <row r="452" spans="2:3" hidden="1" outlineLevel="1" x14ac:dyDescent="0.45">
      <c r="B452" s="46" cm="1">
        <f t="array" aca="1" ref="B452" ca="1">_xll.VoseSimValue(InterestOut,366)</f>
        <v>4.1775550838289974E-2</v>
      </c>
      <c r="C452" s="46" cm="1">
        <f t="array" aca="1" ref="C452" ca="1">_xll.VoseSimValue(MortgageOut,366)</f>
        <v>0.10984756719711079</v>
      </c>
    </row>
    <row r="453" spans="2:3" hidden="1" outlineLevel="1" x14ac:dyDescent="0.45">
      <c r="B453" s="46" cm="1">
        <f t="array" aca="1" ref="B453" ca="1">_xll.VoseSimValue(InterestOut,367)</f>
        <v>3.7878111039302158E-2</v>
      </c>
      <c r="C453" s="46" cm="1">
        <f t="array" aca="1" ref="C453" ca="1">_xll.VoseSimValue(MortgageOut,367)</f>
        <v>0.10317291090871102</v>
      </c>
    </row>
    <row r="454" spans="2:3" hidden="1" outlineLevel="1" x14ac:dyDescent="0.45">
      <c r="B454" s="46" cm="1">
        <f t="array" aca="1" ref="B454" ca="1">_xll.VoseSimValue(InterestOut,368)</f>
        <v>4.7490642681191644E-2</v>
      </c>
      <c r="C454" s="46" cm="1">
        <f t="array" aca="1" ref="C454" ca="1">_xll.VoseSimValue(MortgageOut,368)</f>
        <v>0.10623305972478081</v>
      </c>
    </row>
    <row r="455" spans="2:3" hidden="1" outlineLevel="1" x14ac:dyDescent="0.45">
      <c r="B455" s="46" cm="1">
        <f t="array" aca="1" ref="B455" ca="1">_xll.VoseSimValue(InterestOut,369)</f>
        <v>4.4829689625118095E-2</v>
      </c>
      <c r="C455" s="46" cm="1">
        <f t="array" aca="1" ref="C455" ca="1">_xll.VoseSimValue(MortgageOut,369)</f>
        <v>0.10258093316893327</v>
      </c>
    </row>
    <row r="456" spans="2:3" hidden="1" outlineLevel="1" x14ac:dyDescent="0.45">
      <c r="B456" s="46" cm="1">
        <f t="array" aca="1" ref="B456" ca="1">_xll.VoseSimValue(InterestOut,370)</f>
        <v>3.9230249688651672E-2</v>
      </c>
      <c r="C456" s="46" cm="1">
        <f t="array" aca="1" ref="C456" ca="1">_xll.VoseSimValue(MortgageOut,370)</f>
        <v>8.8689714304290068E-2</v>
      </c>
    </row>
    <row r="457" spans="2:3" hidden="1" outlineLevel="1" x14ac:dyDescent="0.45">
      <c r="B457" s="46" cm="1">
        <f t="array" aca="1" ref="B457" ca="1">_xll.VoseSimValue(InterestOut,371)</f>
        <v>6.0334404781065207E-2</v>
      </c>
      <c r="C457" s="46" cm="1">
        <f t="array" aca="1" ref="C457" ca="1">_xll.VoseSimValue(MortgageOut,371)</f>
        <v>0.12465214989934137</v>
      </c>
    </row>
    <row r="458" spans="2:3" hidden="1" outlineLevel="1" x14ac:dyDescent="0.45">
      <c r="B458" s="46" cm="1">
        <f t="array" aca="1" ref="B458" ca="1">_xll.VoseSimValue(InterestOut,372)</f>
        <v>4.1111104342228956E-2</v>
      </c>
      <c r="C458" s="46" cm="1">
        <f t="array" aca="1" ref="C458" ca="1">_xll.VoseSimValue(MortgageOut,372)</f>
        <v>8.2818792599982566E-2</v>
      </c>
    </row>
    <row r="459" spans="2:3" hidden="1" outlineLevel="1" x14ac:dyDescent="0.45">
      <c r="B459" s="46" cm="1">
        <f t="array" aca="1" ref="B459" ca="1">_xll.VoseSimValue(InterestOut,373)</f>
        <v>4.2806369424767315E-2</v>
      </c>
      <c r="C459" s="46" cm="1">
        <f t="array" aca="1" ref="C459" ca="1">_xll.VoseSimValue(MortgageOut,373)</f>
        <v>7.9824555818460485E-2</v>
      </c>
    </row>
    <row r="460" spans="2:3" hidden="1" outlineLevel="1" x14ac:dyDescent="0.45">
      <c r="B460" s="46" cm="1">
        <f t="array" aca="1" ref="B460" ca="1">_xll.VoseSimValue(InterestOut,374)</f>
        <v>6.6333535906044572E-2</v>
      </c>
      <c r="C460" s="46" cm="1">
        <f t="array" aca="1" ref="C460" ca="1">_xll.VoseSimValue(MortgageOut,374)</f>
        <v>9.8658000368096938E-2</v>
      </c>
    </row>
    <row r="461" spans="2:3" hidden="1" outlineLevel="1" x14ac:dyDescent="0.45">
      <c r="B461" s="46" cm="1">
        <f t="array" aca="1" ref="B461" ca="1">_xll.VoseSimValue(InterestOut,375)</f>
        <v>5.5063958792763226E-2</v>
      </c>
      <c r="C461" s="46" cm="1">
        <f t="array" aca="1" ref="C461" ca="1">_xll.VoseSimValue(MortgageOut,375)</f>
        <v>9.1994076621694232E-2</v>
      </c>
    </row>
    <row r="462" spans="2:3" hidden="1" outlineLevel="1" x14ac:dyDescent="0.45">
      <c r="B462" s="46" cm="1">
        <f t="array" aca="1" ref="B462" ca="1">_xll.VoseSimValue(InterestOut,376)</f>
        <v>5.3318192844394194E-2</v>
      </c>
      <c r="C462" s="46" cm="1">
        <f t="array" aca="1" ref="C462" ca="1">_xll.VoseSimValue(MortgageOut,376)</f>
        <v>9.8076598511615209E-2</v>
      </c>
    </row>
    <row r="463" spans="2:3" hidden="1" outlineLevel="1" x14ac:dyDescent="0.45">
      <c r="B463" s="46" cm="1">
        <f t="array" aca="1" ref="B463" ca="1">_xll.VoseSimValue(InterestOut,377)</f>
        <v>5.1925790434389614E-2</v>
      </c>
      <c r="C463" s="46" cm="1">
        <f t="array" aca="1" ref="C463" ca="1">_xll.VoseSimValue(MortgageOut,377)</f>
        <v>0.11195643967533184</v>
      </c>
    </row>
    <row r="464" spans="2:3" hidden="1" outlineLevel="1" x14ac:dyDescent="0.45">
      <c r="B464" s="46" cm="1">
        <f t="array" aca="1" ref="B464" ca="1">_xll.VoseSimValue(InterestOut,378)</f>
        <v>6.1693825387947494E-2</v>
      </c>
      <c r="C464" s="46" cm="1">
        <f t="array" aca="1" ref="C464" ca="1">_xll.VoseSimValue(MortgageOut,378)</f>
        <v>0.11068303691255452</v>
      </c>
    </row>
    <row r="465" spans="2:3" hidden="1" outlineLevel="1" x14ac:dyDescent="0.45">
      <c r="B465" s="46" cm="1">
        <f t="array" aca="1" ref="B465" ca="1">_xll.VoseSimValue(InterestOut,379)</f>
        <v>6.5931213720765366E-2</v>
      </c>
      <c r="C465" s="46" cm="1">
        <f t="array" aca="1" ref="C465" ca="1">_xll.VoseSimValue(MortgageOut,379)</f>
        <v>0.11304968668631153</v>
      </c>
    </row>
    <row r="466" spans="2:3" hidden="1" outlineLevel="1" x14ac:dyDescent="0.45">
      <c r="B466" s="46" cm="1">
        <f t="array" aca="1" ref="B466" ca="1">_xll.VoseSimValue(InterestOut,380)</f>
        <v>5.4606901421990713E-2</v>
      </c>
      <c r="C466" s="46" cm="1">
        <f t="array" aca="1" ref="C466" ca="1">_xll.VoseSimValue(MortgageOut,380)</f>
        <v>0.11626725888178238</v>
      </c>
    </row>
    <row r="467" spans="2:3" hidden="1" outlineLevel="1" x14ac:dyDescent="0.45">
      <c r="B467" s="46" cm="1">
        <f t="array" aca="1" ref="B467" ca="1">_xll.VoseSimValue(InterestOut,381)</f>
        <v>4.4915664791078808E-2</v>
      </c>
      <c r="C467" s="46" cm="1">
        <f t="array" aca="1" ref="C467" ca="1">_xll.VoseSimValue(MortgageOut,381)</f>
        <v>9.7749927577338885E-2</v>
      </c>
    </row>
    <row r="468" spans="2:3" hidden="1" outlineLevel="1" x14ac:dyDescent="0.45">
      <c r="B468" s="46" cm="1">
        <f t="array" aca="1" ref="B468" ca="1">_xll.VoseSimValue(InterestOut,382)</f>
        <v>4.6627454667734991E-2</v>
      </c>
      <c r="C468" s="46" cm="1">
        <f t="array" aca="1" ref="C468" ca="1">_xll.VoseSimValue(MortgageOut,382)</f>
        <v>9.7867543041547517E-2</v>
      </c>
    </row>
    <row r="469" spans="2:3" hidden="1" outlineLevel="1" x14ac:dyDescent="0.45">
      <c r="B469" s="46" cm="1">
        <f t="array" aca="1" ref="B469" ca="1">_xll.VoseSimValue(InterestOut,383)</f>
        <v>3.7848387657520452E-2</v>
      </c>
      <c r="C469" s="46" cm="1">
        <f t="array" aca="1" ref="C469" ca="1">_xll.VoseSimValue(MortgageOut,383)</f>
        <v>8.0088630654081797E-2</v>
      </c>
    </row>
    <row r="470" spans="2:3" hidden="1" outlineLevel="1" x14ac:dyDescent="0.45">
      <c r="B470" s="46" cm="1">
        <f t="array" aca="1" ref="B470" ca="1">_xll.VoseSimValue(InterestOut,384)</f>
        <v>5.7714623160442069E-2</v>
      </c>
      <c r="C470" s="46" cm="1">
        <f t="array" aca="1" ref="C470" ca="1">_xll.VoseSimValue(MortgageOut,384)</f>
        <v>0.1103072518489432</v>
      </c>
    </row>
    <row r="471" spans="2:3" hidden="1" outlineLevel="1" x14ac:dyDescent="0.45">
      <c r="B471" s="46" cm="1">
        <f t="array" aca="1" ref="B471" ca="1">_xll.VoseSimValue(InterestOut,385)</f>
        <v>5.7939851294779091E-2</v>
      </c>
      <c r="C471" s="46" cm="1">
        <f t="array" aca="1" ref="C471" ca="1">_xll.VoseSimValue(MortgageOut,385)</f>
        <v>0.13036245565373533</v>
      </c>
    </row>
    <row r="472" spans="2:3" hidden="1" outlineLevel="1" x14ac:dyDescent="0.45">
      <c r="B472" s="46" cm="1">
        <f t="array" aca="1" ref="B472" ca="1">_xll.VoseSimValue(InterestOut,386)</f>
        <v>5.1874496838665296E-2</v>
      </c>
      <c r="C472" s="46" cm="1">
        <f t="array" aca="1" ref="C472" ca="1">_xll.VoseSimValue(MortgageOut,386)</f>
        <v>0.10532759129140075</v>
      </c>
    </row>
    <row r="473" spans="2:3" hidden="1" outlineLevel="1" x14ac:dyDescent="0.45">
      <c r="B473" s="46" cm="1">
        <f t="array" aca="1" ref="B473" ca="1">_xll.VoseSimValue(InterestOut,387)</f>
        <v>5.9171984603971522E-2</v>
      </c>
      <c r="C473" s="46" cm="1">
        <f t="array" aca="1" ref="C473" ca="1">_xll.VoseSimValue(MortgageOut,387)</f>
        <v>0.11253715941043385</v>
      </c>
    </row>
    <row r="474" spans="2:3" hidden="1" outlineLevel="1" x14ac:dyDescent="0.45">
      <c r="B474" s="46" cm="1">
        <f t="array" aca="1" ref="B474" ca="1">_xll.VoseSimValue(InterestOut,388)</f>
        <v>5.7995983559051625E-2</v>
      </c>
      <c r="C474" s="46" cm="1">
        <f t="array" aca="1" ref="C474" ca="1">_xll.VoseSimValue(MortgageOut,388)</f>
        <v>0.10740263623215485</v>
      </c>
    </row>
    <row r="475" spans="2:3" hidden="1" outlineLevel="1" x14ac:dyDescent="0.45">
      <c r="B475" s="46" cm="1">
        <f t="array" aca="1" ref="B475" ca="1">_xll.VoseSimValue(InterestOut,389)</f>
        <v>6.4921906778654143E-2</v>
      </c>
      <c r="C475" s="46" cm="1">
        <f t="array" aca="1" ref="C475" ca="1">_xll.VoseSimValue(MortgageOut,389)</f>
        <v>0.12895203585413811</v>
      </c>
    </row>
    <row r="476" spans="2:3" hidden="1" outlineLevel="1" x14ac:dyDescent="0.45">
      <c r="B476" s="46" cm="1">
        <f t="array" aca="1" ref="B476" ca="1">_xll.VoseSimValue(InterestOut,390)</f>
        <v>4.1884595659834496E-2</v>
      </c>
      <c r="C476" s="46" cm="1">
        <f t="array" aca="1" ref="C476" ca="1">_xll.VoseSimValue(MortgageOut,390)</f>
        <v>8.7658686180817735E-2</v>
      </c>
    </row>
    <row r="477" spans="2:3" hidden="1" outlineLevel="1" x14ac:dyDescent="0.45">
      <c r="B477" s="46" cm="1">
        <f t="array" aca="1" ref="B477" ca="1">_xll.VoseSimValue(InterestOut,391)</f>
        <v>6.6397646806926475E-2</v>
      </c>
      <c r="C477" s="46" cm="1">
        <f t="array" aca="1" ref="C477" ca="1">_xll.VoseSimValue(MortgageOut,391)</f>
        <v>0.1034310156779859</v>
      </c>
    </row>
    <row r="478" spans="2:3" hidden="1" outlineLevel="1" x14ac:dyDescent="0.45">
      <c r="B478" s="46" cm="1">
        <f t="array" aca="1" ref="B478" ca="1">_xll.VoseSimValue(InterestOut,392)</f>
        <v>5.6452718657359027E-2</v>
      </c>
      <c r="C478" s="46" cm="1">
        <f t="array" aca="1" ref="C478" ca="1">_xll.VoseSimValue(MortgageOut,392)</f>
        <v>0.11900892869501961</v>
      </c>
    </row>
    <row r="479" spans="2:3" hidden="1" outlineLevel="1" x14ac:dyDescent="0.45">
      <c r="B479" s="46" cm="1">
        <f t="array" aca="1" ref="B479" ca="1">_xll.VoseSimValue(InterestOut,393)</f>
        <v>3.4090387625338475E-2</v>
      </c>
      <c r="C479" s="46" cm="1">
        <f t="array" aca="1" ref="C479" ca="1">_xll.VoseSimValue(MortgageOut,393)</f>
        <v>8.4418580706376506E-2</v>
      </c>
    </row>
    <row r="480" spans="2:3" hidden="1" outlineLevel="1" x14ac:dyDescent="0.45">
      <c r="B480" s="46" cm="1">
        <f t="array" aca="1" ref="B480" ca="1">_xll.VoseSimValue(InterestOut,394)</f>
        <v>4.9352340447755196E-2</v>
      </c>
      <c r="C480" s="46" cm="1">
        <f t="array" aca="1" ref="C480" ca="1">_xll.VoseSimValue(MortgageOut,394)</f>
        <v>0.11499577844911951</v>
      </c>
    </row>
    <row r="481" spans="2:3" hidden="1" outlineLevel="1" x14ac:dyDescent="0.45">
      <c r="B481" s="46" cm="1">
        <f t="array" aca="1" ref="B481" ca="1">_xll.VoseSimValue(InterestOut,395)</f>
        <v>4.4068015216702422E-2</v>
      </c>
      <c r="C481" s="46" cm="1">
        <f t="array" aca="1" ref="C481" ca="1">_xll.VoseSimValue(MortgageOut,395)</f>
        <v>8.2133066697410953E-2</v>
      </c>
    </row>
    <row r="482" spans="2:3" hidden="1" outlineLevel="1" x14ac:dyDescent="0.45">
      <c r="B482" s="46" cm="1">
        <f t="array" aca="1" ref="B482" ca="1">_xll.VoseSimValue(InterestOut,396)</f>
        <v>5.773195671187005E-2</v>
      </c>
      <c r="C482" s="46" cm="1">
        <f t="array" aca="1" ref="C482" ca="1">_xll.VoseSimValue(MortgageOut,396)</f>
        <v>0.10691550047485049</v>
      </c>
    </row>
    <row r="483" spans="2:3" hidden="1" outlineLevel="1" x14ac:dyDescent="0.45">
      <c r="B483" s="46" cm="1">
        <f t="array" aca="1" ref="B483" ca="1">_xll.VoseSimValue(InterestOut,397)</f>
        <v>5.4424531703686455E-2</v>
      </c>
      <c r="C483" s="46" cm="1">
        <f t="array" aca="1" ref="C483" ca="1">_xll.VoseSimValue(MortgageOut,397)</f>
        <v>0.12008022821115821</v>
      </c>
    </row>
    <row r="484" spans="2:3" hidden="1" outlineLevel="1" x14ac:dyDescent="0.45">
      <c r="B484" s="46" cm="1">
        <f t="array" aca="1" ref="B484" ca="1">_xll.VoseSimValue(InterestOut,398)</f>
        <v>5.8635556132813127E-2</v>
      </c>
      <c r="C484" s="46" cm="1">
        <f t="array" aca="1" ref="C484" ca="1">_xll.VoseSimValue(MortgageOut,398)</f>
        <v>0.12474053251651002</v>
      </c>
    </row>
    <row r="485" spans="2:3" hidden="1" outlineLevel="1" x14ac:dyDescent="0.45">
      <c r="B485" s="46" cm="1">
        <f t="array" aca="1" ref="B485" ca="1">_xll.VoseSimValue(InterestOut,399)</f>
        <v>6.7643313917727099E-2</v>
      </c>
      <c r="C485" s="46" cm="1">
        <f t="array" aca="1" ref="C485" ca="1">_xll.VoseSimValue(MortgageOut,399)</f>
        <v>0.11915363053132888</v>
      </c>
    </row>
    <row r="486" spans="2:3" hidden="1" outlineLevel="1" x14ac:dyDescent="0.45">
      <c r="B486" s="46" cm="1">
        <f t="array" aca="1" ref="B486" ca="1">_xll.VoseSimValue(InterestOut,400)</f>
        <v>4.8583998720304021E-2</v>
      </c>
      <c r="C486" s="46" cm="1">
        <f t="array" aca="1" ref="C486" ca="1">_xll.VoseSimValue(MortgageOut,400)</f>
        <v>9.5964165247887187E-2</v>
      </c>
    </row>
    <row r="487" spans="2:3" hidden="1" outlineLevel="1" x14ac:dyDescent="0.45">
      <c r="B487" s="46" cm="1">
        <f t="array" aca="1" ref="B487" ca="1">_xll.VoseSimValue(InterestOut,401)</f>
        <v>6.7736873682159485E-2</v>
      </c>
      <c r="C487" s="46" cm="1">
        <f t="array" aca="1" ref="C487" ca="1">_xll.VoseSimValue(MortgageOut,401)</f>
        <v>0.10422566319623527</v>
      </c>
    </row>
    <row r="488" spans="2:3" hidden="1" outlineLevel="1" x14ac:dyDescent="0.45">
      <c r="B488" s="46" cm="1">
        <f t="array" aca="1" ref="B488" ca="1">_xll.VoseSimValue(InterestOut,402)</f>
        <v>6.5956035508173458E-2</v>
      </c>
      <c r="C488" s="46" cm="1">
        <f t="array" aca="1" ref="C488" ca="1">_xll.VoseSimValue(MortgageOut,402)</f>
        <v>0.11235949232082953</v>
      </c>
    </row>
    <row r="489" spans="2:3" hidden="1" outlineLevel="1" x14ac:dyDescent="0.45">
      <c r="B489" s="46" cm="1">
        <f t="array" aca="1" ref="B489" ca="1">_xll.VoseSimValue(InterestOut,403)</f>
        <v>5.2779650420405472E-2</v>
      </c>
      <c r="C489" s="46" cm="1">
        <f t="array" aca="1" ref="C489" ca="1">_xll.VoseSimValue(MortgageOut,403)</f>
        <v>9.1241739656768586E-2</v>
      </c>
    </row>
    <row r="490" spans="2:3" hidden="1" outlineLevel="1" x14ac:dyDescent="0.45">
      <c r="B490" s="46" cm="1">
        <f t="array" aca="1" ref="B490" ca="1">_xll.VoseSimValue(InterestOut,404)</f>
        <v>4.3125128272283569E-2</v>
      </c>
      <c r="C490" s="46" cm="1">
        <f t="array" aca="1" ref="C490" ca="1">_xll.VoseSimValue(MortgageOut,404)</f>
        <v>8.744669170987171E-2</v>
      </c>
    </row>
    <row r="491" spans="2:3" hidden="1" outlineLevel="1" x14ac:dyDescent="0.45">
      <c r="B491" s="46" cm="1">
        <f t="array" aca="1" ref="B491" ca="1">_xll.VoseSimValue(InterestOut,405)</f>
        <v>6.536962613671593E-2</v>
      </c>
      <c r="C491" s="46" cm="1">
        <f t="array" aca="1" ref="C491" ca="1">_xll.VoseSimValue(MortgageOut,405)</f>
        <v>0.11977637047522882</v>
      </c>
    </row>
    <row r="492" spans="2:3" hidden="1" outlineLevel="1" x14ac:dyDescent="0.45">
      <c r="B492" s="46" cm="1">
        <f t="array" aca="1" ref="B492" ca="1">_xll.VoseSimValue(InterestOut,406)</f>
        <v>3.3265220012158821E-2</v>
      </c>
      <c r="C492" s="46" cm="1">
        <f t="array" aca="1" ref="C492" ca="1">_xll.VoseSimValue(MortgageOut,406)</f>
        <v>8.211975784731565E-2</v>
      </c>
    </row>
    <row r="493" spans="2:3" hidden="1" outlineLevel="1" x14ac:dyDescent="0.45">
      <c r="B493" s="46" cm="1">
        <f t="array" aca="1" ref="B493" ca="1">_xll.VoseSimValue(InterestOut,407)</f>
        <v>5.5123960050483006E-2</v>
      </c>
      <c r="C493" s="46" cm="1">
        <f t="array" aca="1" ref="C493" ca="1">_xll.VoseSimValue(MortgageOut,407)</f>
        <v>9.336504925963568E-2</v>
      </c>
    </row>
    <row r="494" spans="2:3" hidden="1" outlineLevel="1" x14ac:dyDescent="0.45">
      <c r="B494" s="46" cm="1">
        <f t="array" aca="1" ref="B494" ca="1">_xll.VoseSimValue(InterestOut,408)</f>
        <v>6.6029320188951857E-2</v>
      </c>
      <c r="C494" s="46" cm="1">
        <f t="array" aca="1" ref="C494" ca="1">_xll.VoseSimValue(MortgageOut,408)</f>
        <v>0.10606609847635863</v>
      </c>
    </row>
    <row r="495" spans="2:3" hidden="1" outlineLevel="1" x14ac:dyDescent="0.45">
      <c r="B495" s="46" cm="1">
        <f t="array" aca="1" ref="B495" ca="1">_xll.VoseSimValue(InterestOut,409)</f>
        <v>4.8383108539699023E-2</v>
      </c>
      <c r="C495" s="46" cm="1">
        <f t="array" aca="1" ref="C495" ca="1">_xll.VoseSimValue(MortgageOut,409)</f>
        <v>9.1803894087531937E-2</v>
      </c>
    </row>
    <row r="496" spans="2:3" hidden="1" outlineLevel="1" x14ac:dyDescent="0.45">
      <c r="B496" s="46" cm="1">
        <f t="array" aca="1" ref="B496" ca="1">_xll.VoseSimValue(InterestOut,410)</f>
        <v>4.5799905949458319E-2</v>
      </c>
      <c r="C496" s="46" cm="1">
        <f t="array" aca="1" ref="C496" ca="1">_xll.VoseSimValue(MortgageOut,410)</f>
        <v>0.11811941140913734</v>
      </c>
    </row>
    <row r="497" spans="2:3" hidden="1" outlineLevel="1" x14ac:dyDescent="0.45">
      <c r="B497" s="46" cm="1">
        <f t="array" aca="1" ref="B497" ca="1">_xll.VoseSimValue(InterestOut,411)</f>
        <v>5.0904838088092388E-2</v>
      </c>
      <c r="C497" s="46" cm="1">
        <f t="array" aca="1" ref="C497" ca="1">_xll.VoseSimValue(MortgageOut,411)</f>
        <v>0.102092711671822</v>
      </c>
    </row>
    <row r="498" spans="2:3" hidden="1" outlineLevel="1" x14ac:dyDescent="0.45">
      <c r="B498" s="46" cm="1">
        <f t="array" aca="1" ref="B498" ca="1">_xll.VoseSimValue(InterestOut,412)</f>
        <v>4.1936945758758816E-2</v>
      </c>
      <c r="C498" s="46" cm="1">
        <f t="array" aca="1" ref="C498" ca="1">_xll.VoseSimValue(MortgageOut,412)</f>
        <v>9.2300988130097211E-2</v>
      </c>
    </row>
    <row r="499" spans="2:3" hidden="1" outlineLevel="1" x14ac:dyDescent="0.45">
      <c r="B499" s="46" cm="1">
        <f t="array" aca="1" ref="B499" ca="1">_xll.VoseSimValue(InterestOut,413)</f>
        <v>5.4078035791066272E-2</v>
      </c>
      <c r="C499" s="46" cm="1">
        <f t="array" aca="1" ref="C499" ca="1">_xll.VoseSimValue(MortgageOut,413)</f>
        <v>0.10714210725039831</v>
      </c>
    </row>
    <row r="500" spans="2:3" hidden="1" outlineLevel="1" x14ac:dyDescent="0.45">
      <c r="B500" s="46" cm="1">
        <f t="array" aca="1" ref="B500" ca="1">_xll.VoseSimValue(InterestOut,414)</f>
        <v>3.5121792470250636E-2</v>
      </c>
      <c r="C500" s="46" cm="1">
        <f t="array" aca="1" ref="C500" ca="1">_xll.VoseSimValue(MortgageOut,414)</f>
        <v>8.8835557372969054E-2</v>
      </c>
    </row>
    <row r="501" spans="2:3" hidden="1" outlineLevel="1" x14ac:dyDescent="0.45">
      <c r="B501" s="46" cm="1">
        <f t="array" aca="1" ref="B501" ca="1">_xll.VoseSimValue(InterestOut,415)</f>
        <v>5.2588965107444333E-2</v>
      </c>
      <c r="C501" s="46" cm="1">
        <f t="array" aca="1" ref="C501" ca="1">_xll.VoseSimValue(MortgageOut,415)</f>
        <v>0.10795963871588352</v>
      </c>
    </row>
    <row r="502" spans="2:3" hidden="1" outlineLevel="1" x14ac:dyDescent="0.45">
      <c r="B502" s="46" cm="1">
        <f t="array" aca="1" ref="B502" ca="1">_xll.VoseSimValue(InterestOut,416)</f>
        <v>5.0013010538040303E-2</v>
      </c>
      <c r="C502" s="46" cm="1">
        <f t="array" aca="1" ref="C502" ca="1">_xll.VoseSimValue(MortgageOut,416)</f>
        <v>0.12122363230812537</v>
      </c>
    </row>
    <row r="503" spans="2:3" hidden="1" outlineLevel="1" x14ac:dyDescent="0.45">
      <c r="B503" s="46" cm="1">
        <f t="array" aca="1" ref="B503" ca="1">_xll.VoseSimValue(InterestOut,417)</f>
        <v>6.601849518548733E-2</v>
      </c>
      <c r="C503" s="46" cm="1">
        <f t="array" aca="1" ref="C503" ca="1">_xll.VoseSimValue(MortgageOut,417)</f>
        <v>0.12289660326729687</v>
      </c>
    </row>
    <row r="504" spans="2:3" hidden="1" outlineLevel="1" x14ac:dyDescent="0.45">
      <c r="B504" s="46" cm="1">
        <f t="array" aca="1" ref="B504" ca="1">_xll.VoseSimValue(InterestOut,418)</f>
        <v>6.0467971171947424E-2</v>
      </c>
      <c r="C504" s="46" cm="1">
        <f t="array" aca="1" ref="C504" ca="1">_xll.VoseSimValue(MortgageOut,418)</f>
        <v>0.10746559991485456</v>
      </c>
    </row>
    <row r="505" spans="2:3" hidden="1" outlineLevel="1" x14ac:dyDescent="0.45">
      <c r="B505" s="46" cm="1">
        <f t="array" aca="1" ref="B505" ca="1">_xll.VoseSimValue(InterestOut,419)</f>
        <v>6.5556193543853031E-2</v>
      </c>
      <c r="C505" s="46" cm="1">
        <f t="array" aca="1" ref="C505" ca="1">_xll.VoseSimValue(MortgageOut,419)</f>
        <v>0.11490446323734477</v>
      </c>
    </row>
    <row r="506" spans="2:3" hidden="1" outlineLevel="1" x14ac:dyDescent="0.45">
      <c r="B506" s="46" cm="1">
        <f t="array" aca="1" ref="B506" ca="1">_xll.VoseSimValue(InterestOut,420)</f>
        <v>4.7808941499510649E-2</v>
      </c>
      <c r="C506" s="46" cm="1">
        <f t="array" aca="1" ref="C506" ca="1">_xll.VoseSimValue(MortgageOut,420)</f>
        <v>9.9277818993028899E-2</v>
      </c>
    </row>
    <row r="507" spans="2:3" hidden="1" outlineLevel="1" x14ac:dyDescent="0.45">
      <c r="B507" s="46" cm="1">
        <f t="array" aca="1" ref="B507" ca="1">_xll.VoseSimValue(InterestOut,421)</f>
        <v>4.8511769089135598E-2</v>
      </c>
      <c r="C507" s="46" cm="1">
        <f t="array" aca="1" ref="C507" ca="1">_xll.VoseSimValue(MortgageOut,421)</f>
        <v>0.10448281724535105</v>
      </c>
    </row>
    <row r="508" spans="2:3" hidden="1" outlineLevel="1" x14ac:dyDescent="0.45">
      <c r="B508" s="46" cm="1">
        <f t="array" aca="1" ref="B508" ca="1">_xll.VoseSimValue(InterestOut,422)</f>
        <v>5.4213726488900604E-2</v>
      </c>
      <c r="C508" s="46" cm="1">
        <f t="array" aca="1" ref="C508" ca="1">_xll.VoseSimValue(MortgageOut,422)</f>
        <v>0.10445445623635556</v>
      </c>
    </row>
    <row r="509" spans="2:3" hidden="1" outlineLevel="1" x14ac:dyDescent="0.45">
      <c r="B509" s="46" cm="1">
        <f t="array" aca="1" ref="B509" ca="1">_xll.VoseSimValue(InterestOut,423)</f>
        <v>6.8902436737510911E-2</v>
      </c>
      <c r="C509" s="46" cm="1">
        <f t="array" aca="1" ref="C509" ca="1">_xll.VoseSimValue(MortgageOut,423)</f>
        <v>0.11013704873109512</v>
      </c>
    </row>
    <row r="510" spans="2:3" hidden="1" outlineLevel="1" x14ac:dyDescent="0.45">
      <c r="B510" s="46" cm="1">
        <f t="array" aca="1" ref="B510" ca="1">_xll.VoseSimValue(InterestOut,424)</f>
        <v>3.5974746491022669E-2</v>
      </c>
      <c r="C510" s="46" cm="1">
        <f t="array" aca="1" ref="C510" ca="1">_xll.VoseSimValue(MortgageOut,424)</f>
        <v>9.4363210633275324E-2</v>
      </c>
    </row>
    <row r="511" spans="2:3" hidden="1" outlineLevel="1" x14ac:dyDescent="0.45">
      <c r="B511" s="46" cm="1">
        <f t="array" aca="1" ref="B511" ca="1">_xll.VoseSimValue(InterestOut,425)</f>
        <v>4.2171812534073885E-2</v>
      </c>
      <c r="C511" s="46" cm="1">
        <f t="array" aca="1" ref="C511" ca="1">_xll.VoseSimValue(MortgageOut,425)</f>
        <v>8.8341561179289013E-2</v>
      </c>
    </row>
    <row r="512" spans="2:3" hidden="1" outlineLevel="1" x14ac:dyDescent="0.45">
      <c r="B512" s="46" cm="1">
        <f t="array" aca="1" ref="B512" ca="1">_xll.VoseSimValue(InterestOut,426)</f>
        <v>4.7440081929017913E-2</v>
      </c>
      <c r="C512" s="46" cm="1">
        <f t="array" aca="1" ref="C512" ca="1">_xll.VoseSimValue(MortgageOut,426)</f>
        <v>0.10324882378085332</v>
      </c>
    </row>
    <row r="513" spans="2:3" hidden="1" outlineLevel="1" x14ac:dyDescent="0.45">
      <c r="B513" s="46" cm="1">
        <f t="array" aca="1" ref="B513" ca="1">_xll.VoseSimValue(InterestOut,427)</f>
        <v>4.0484783168851485E-2</v>
      </c>
      <c r="C513" s="46" cm="1">
        <f t="array" aca="1" ref="C513" ca="1">_xll.VoseSimValue(MortgageOut,427)</f>
        <v>0.10031431414519239</v>
      </c>
    </row>
    <row r="514" spans="2:3" hidden="1" outlineLevel="1" x14ac:dyDescent="0.45">
      <c r="B514" s="46" cm="1">
        <f t="array" aca="1" ref="B514" ca="1">_xll.VoseSimValue(InterestOut,428)</f>
        <v>3.8470386399451481E-2</v>
      </c>
      <c r="C514" s="46" cm="1">
        <f t="array" aca="1" ref="C514" ca="1">_xll.VoseSimValue(MortgageOut,428)</f>
        <v>9.2238213584311807E-2</v>
      </c>
    </row>
    <row r="515" spans="2:3" hidden="1" outlineLevel="1" x14ac:dyDescent="0.45">
      <c r="B515" s="46" cm="1">
        <f t="array" aca="1" ref="B515" ca="1">_xll.VoseSimValue(InterestOut,429)</f>
        <v>4.0812659856012255E-2</v>
      </c>
      <c r="C515" s="46" cm="1">
        <f t="array" aca="1" ref="C515" ca="1">_xll.VoseSimValue(MortgageOut,429)</f>
        <v>8.3032284815748578E-2</v>
      </c>
    </row>
    <row r="516" spans="2:3" hidden="1" outlineLevel="1" x14ac:dyDescent="0.45">
      <c r="B516" s="46" cm="1">
        <f t="array" aca="1" ref="B516" ca="1">_xll.VoseSimValue(InterestOut,430)</f>
        <v>5.6637044819040736E-2</v>
      </c>
      <c r="C516" s="46" cm="1">
        <f t="array" aca="1" ref="C516" ca="1">_xll.VoseSimValue(MortgageOut,430)</f>
        <v>9.7373533955485064E-2</v>
      </c>
    </row>
    <row r="517" spans="2:3" hidden="1" outlineLevel="1" x14ac:dyDescent="0.45">
      <c r="B517" s="46" cm="1">
        <f t="array" aca="1" ref="B517" ca="1">_xll.VoseSimValue(InterestOut,431)</f>
        <v>5.1422862748457157E-2</v>
      </c>
      <c r="C517" s="46" cm="1">
        <f t="array" aca="1" ref="C517" ca="1">_xll.VoseSimValue(MortgageOut,431)</f>
        <v>9.6228631708034779E-2</v>
      </c>
    </row>
    <row r="518" spans="2:3" hidden="1" outlineLevel="1" x14ac:dyDescent="0.45">
      <c r="B518" s="46" cm="1">
        <f t="array" aca="1" ref="B518" ca="1">_xll.VoseSimValue(InterestOut,432)</f>
        <v>3.3938249119395192E-2</v>
      </c>
      <c r="C518" s="46" cm="1">
        <f t="array" aca="1" ref="C518" ca="1">_xll.VoseSimValue(MortgageOut,432)</f>
        <v>7.019296444710002E-2</v>
      </c>
    </row>
    <row r="519" spans="2:3" hidden="1" outlineLevel="1" x14ac:dyDescent="0.45">
      <c r="B519" s="46" cm="1">
        <f t="array" aca="1" ref="B519" ca="1">_xll.VoseSimValue(InterestOut,433)</f>
        <v>3.48874986572449E-2</v>
      </c>
      <c r="C519" s="46" cm="1">
        <f t="array" aca="1" ref="C519" ca="1">_xll.VoseSimValue(MortgageOut,433)</f>
        <v>7.9588198639837363E-2</v>
      </c>
    </row>
    <row r="520" spans="2:3" hidden="1" outlineLevel="1" x14ac:dyDescent="0.45">
      <c r="B520" s="46" cm="1">
        <f t="array" aca="1" ref="B520" ca="1">_xll.VoseSimValue(InterestOut,434)</f>
        <v>5.0210775589650716E-2</v>
      </c>
      <c r="C520" s="46" cm="1">
        <f t="array" aca="1" ref="C520" ca="1">_xll.VoseSimValue(MortgageOut,434)</f>
        <v>9.5310613856311385E-2</v>
      </c>
    </row>
    <row r="521" spans="2:3" hidden="1" outlineLevel="1" x14ac:dyDescent="0.45">
      <c r="B521" s="46" cm="1">
        <f t="array" aca="1" ref="B521" ca="1">_xll.VoseSimValue(InterestOut,435)</f>
        <v>6.7560049912899239E-2</v>
      </c>
      <c r="C521" s="46" cm="1">
        <f t="array" aca="1" ref="C521" ca="1">_xll.VoseSimValue(MortgageOut,435)</f>
        <v>0.12010243098742981</v>
      </c>
    </row>
    <row r="522" spans="2:3" hidden="1" outlineLevel="1" x14ac:dyDescent="0.45">
      <c r="B522" s="46" cm="1">
        <f t="array" aca="1" ref="B522" ca="1">_xll.VoseSimValue(InterestOut,436)</f>
        <v>6.8714231956449878E-2</v>
      </c>
      <c r="C522" s="46" cm="1">
        <f t="array" aca="1" ref="C522" ca="1">_xll.VoseSimValue(MortgageOut,436)</f>
        <v>9.9125351383131541E-2</v>
      </c>
    </row>
    <row r="523" spans="2:3" hidden="1" outlineLevel="1" x14ac:dyDescent="0.45">
      <c r="B523" s="46" cm="1">
        <f t="array" aca="1" ref="B523" ca="1">_xll.VoseSimValue(InterestOut,437)</f>
        <v>6.118947406275E-2</v>
      </c>
      <c r="C523" s="46" cm="1">
        <f t="array" aca="1" ref="C523" ca="1">_xll.VoseSimValue(MortgageOut,437)</f>
        <v>8.8575595594921328E-2</v>
      </c>
    </row>
    <row r="524" spans="2:3" hidden="1" outlineLevel="1" x14ac:dyDescent="0.45">
      <c r="B524" s="46" cm="1">
        <f t="array" aca="1" ref="B524" ca="1">_xll.VoseSimValue(InterestOut,438)</f>
        <v>4.6890361719190476E-2</v>
      </c>
      <c r="C524" s="46" cm="1">
        <f t="array" aca="1" ref="C524" ca="1">_xll.VoseSimValue(MortgageOut,438)</f>
        <v>9.3267666709445696E-2</v>
      </c>
    </row>
    <row r="525" spans="2:3" hidden="1" outlineLevel="1" x14ac:dyDescent="0.45">
      <c r="B525" s="46" cm="1">
        <f t="array" aca="1" ref="B525" ca="1">_xll.VoseSimValue(InterestOut,439)</f>
        <v>3.4215441192475354E-2</v>
      </c>
      <c r="C525" s="46" cm="1">
        <f t="array" aca="1" ref="C525" ca="1">_xll.VoseSimValue(MortgageOut,439)</f>
        <v>7.0412363456611643E-2</v>
      </c>
    </row>
    <row r="526" spans="2:3" hidden="1" outlineLevel="1" x14ac:dyDescent="0.45">
      <c r="B526" s="46" cm="1">
        <f t="array" aca="1" ref="B526" ca="1">_xll.VoseSimValue(InterestOut,440)</f>
        <v>5.0539621884359245E-2</v>
      </c>
      <c r="C526" s="46" cm="1">
        <f t="array" aca="1" ref="C526" ca="1">_xll.VoseSimValue(MortgageOut,440)</f>
        <v>0.11870484387830106</v>
      </c>
    </row>
    <row r="527" spans="2:3" hidden="1" outlineLevel="1" x14ac:dyDescent="0.45">
      <c r="B527" s="46" cm="1">
        <f t="array" aca="1" ref="B527" ca="1">_xll.VoseSimValue(InterestOut,441)</f>
        <v>4.2246153319469737E-2</v>
      </c>
      <c r="C527" s="46" cm="1">
        <f t="array" aca="1" ref="C527" ca="1">_xll.VoseSimValue(MortgageOut,441)</f>
        <v>9.3355568854410723E-2</v>
      </c>
    </row>
    <row r="528" spans="2:3" hidden="1" outlineLevel="1" x14ac:dyDescent="0.45">
      <c r="B528" s="46" cm="1">
        <f t="array" aca="1" ref="B528" ca="1">_xll.VoseSimValue(InterestOut,442)</f>
        <v>3.9656211119136552E-2</v>
      </c>
      <c r="C528" s="46" cm="1">
        <f t="array" aca="1" ref="C528" ca="1">_xll.VoseSimValue(MortgageOut,442)</f>
        <v>8.5686871670374559E-2</v>
      </c>
    </row>
    <row r="529" spans="2:3" hidden="1" outlineLevel="1" x14ac:dyDescent="0.45">
      <c r="B529" s="46" cm="1">
        <f t="array" aca="1" ref="B529" ca="1">_xll.VoseSimValue(InterestOut,443)</f>
        <v>4.6832801425669819E-2</v>
      </c>
      <c r="C529" s="46" cm="1">
        <f t="array" aca="1" ref="C529" ca="1">_xll.VoseSimValue(MortgageOut,443)</f>
        <v>8.9469587723144103E-2</v>
      </c>
    </row>
    <row r="530" spans="2:3" hidden="1" outlineLevel="1" x14ac:dyDescent="0.45">
      <c r="B530" s="46" cm="1">
        <f t="array" aca="1" ref="B530" ca="1">_xll.VoseSimValue(InterestOut,444)</f>
        <v>5.1354633515951931E-2</v>
      </c>
      <c r="C530" s="46" cm="1">
        <f t="array" aca="1" ref="C530" ca="1">_xll.VoseSimValue(MortgageOut,444)</f>
        <v>8.986449558381196E-2</v>
      </c>
    </row>
    <row r="531" spans="2:3" hidden="1" outlineLevel="1" x14ac:dyDescent="0.45">
      <c r="B531" s="46" cm="1">
        <f t="array" aca="1" ref="B531" ca="1">_xll.VoseSimValue(InterestOut,445)</f>
        <v>4.0660875166208657E-2</v>
      </c>
      <c r="C531" s="46" cm="1">
        <f t="array" aca="1" ref="C531" ca="1">_xll.VoseSimValue(MortgageOut,445)</f>
        <v>9.7087227118584418E-2</v>
      </c>
    </row>
    <row r="532" spans="2:3" hidden="1" outlineLevel="1" x14ac:dyDescent="0.45">
      <c r="B532" s="46" cm="1">
        <f t="array" aca="1" ref="B532" ca="1">_xll.VoseSimValue(InterestOut,446)</f>
        <v>6.3759314198655631E-2</v>
      </c>
      <c r="C532" s="46" cm="1">
        <f t="array" aca="1" ref="C532" ca="1">_xll.VoseSimValue(MortgageOut,446)</f>
        <v>0.10997244157483393</v>
      </c>
    </row>
    <row r="533" spans="2:3" hidden="1" outlineLevel="1" x14ac:dyDescent="0.45">
      <c r="B533" s="46" cm="1">
        <f t="array" aca="1" ref="B533" ca="1">_xll.VoseSimValue(InterestOut,447)</f>
        <v>6.0511166098256741E-2</v>
      </c>
      <c r="C533" s="46" cm="1">
        <f t="array" aca="1" ref="C533" ca="1">_xll.VoseSimValue(MortgageOut,447)</f>
        <v>0.12307872630670474</v>
      </c>
    </row>
    <row r="534" spans="2:3" hidden="1" outlineLevel="1" x14ac:dyDescent="0.45">
      <c r="B534" s="46" cm="1">
        <f t="array" aca="1" ref="B534" ca="1">_xll.VoseSimValue(InterestOut,448)</f>
        <v>5.2183799099217616E-2</v>
      </c>
      <c r="C534" s="46" cm="1">
        <f t="array" aca="1" ref="C534" ca="1">_xll.VoseSimValue(MortgageOut,448)</f>
        <v>0.12477617097184093</v>
      </c>
    </row>
    <row r="535" spans="2:3" hidden="1" outlineLevel="1" x14ac:dyDescent="0.45">
      <c r="B535" s="46" cm="1">
        <f t="array" aca="1" ref="B535" ca="1">_xll.VoseSimValue(InterestOut,449)</f>
        <v>4.717556132626044E-2</v>
      </c>
      <c r="C535" s="46" cm="1">
        <f t="array" aca="1" ref="C535" ca="1">_xll.VoseSimValue(MortgageOut,449)</f>
        <v>0.1018876915690488</v>
      </c>
    </row>
    <row r="536" spans="2:3" hidden="1" outlineLevel="1" x14ac:dyDescent="0.45">
      <c r="B536" s="46" cm="1">
        <f t="array" aca="1" ref="B536" ca="1">_xll.VoseSimValue(InterestOut,450)</f>
        <v>4.543395357004084E-2</v>
      </c>
      <c r="C536" s="46" cm="1">
        <f t="array" aca="1" ref="C536" ca="1">_xll.VoseSimValue(MortgageOut,450)</f>
        <v>9.5861498820105334E-2</v>
      </c>
    </row>
    <row r="537" spans="2:3" hidden="1" outlineLevel="1" x14ac:dyDescent="0.45">
      <c r="B537" s="46" cm="1">
        <f t="array" aca="1" ref="B537" ca="1">_xll.VoseSimValue(InterestOut,451)</f>
        <v>6.6964956212836296E-2</v>
      </c>
      <c r="C537" s="46" cm="1">
        <f t="array" aca="1" ref="C537" ca="1">_xll.VoseSimValue(MortgageOut,451)</f>
        <v>0.12618321954335157</v>
      </c>
    </row>
    <row r="538" spans="2:3" hidden="1" outlineLevel="1" x14ac:dyDescent="0.45">
      <c r="B538" s="46" cm="1">
        <f t="array" aca="1" ref="B538" ca="1">_xll.VoseSimValue(InterestOut,452)</f>
        <v>4.7440281766397266E-2</v>
      </c>
      <c r="C538" s="46" cm="1">
        <f t="array" aca="1" ref="C538" ca="1">_xll.VoseSimValue(MortgageOut,452)</f>
        <v>0.10647690621762398</v>
      </c>
    </row>
    <row r="539" spans="2:3" hidden="1" outlineLevel="1" x14ac:dyDescent="0.45">
      <c r="B539" s="46" cm="1">
        <f t="array" aca="1" ref="B539" ca="1">_xll.VoseSimValue(InterestOut,453)</f>
        <v>5.3465948946838024E-2</v>
      </c>
      <c r="C539" s="46" cm="1">
        <f t="array" aca="1" ref="C539" ca="1">_xll.VoseSimValue(MortgageOut,453)</f>
        <v>0.10347891561349995</v>
      </c>
    </row>
    <row r="540" spans="2:3" hidden="1" outlineLevel="1" x14ac:dyDescent="0.45">
      <c r="B540" s="46" cm="1">
        <f t="array" aca="1" ref="B540" ca="1">_xll.VoseSimValue(InterestOut,454)</f>
        <v>6.4297858017962756E-2</v>
      </c>
      <c r="C540" s="46" cm="1">
        <f t="array" aca="1" ref="C540" ca="1">_xll.VoseSimValue(MortgageOut,454)</f>
        <v>0.12103110566218639</v>
      </c>
    </row>
    <row r="541" spans="2:3" hidden="1" outlineLevel="1" x14ac:dyDescent="0.45">
      <c r="B541" s="46" cm="1">
        <f t="array" aca="1" ref="B541" ca="1">_xll.VoseSimValue(InterestOut,455)</f>
        <v>6.3425594455730067E-2</v>
      </c>
      <c r="C541" s="46" cm="1">
        <f t="array" aca="1" ref="C541" ca="1">_xll.VoseSimValue(MortgageOut,455)</f>
        <v>9.8734724743305524E-2</v>
      </c>
    </row>
    <row r="542" spans="2:3" hidden="1" outlineLevel="1" x14ac:dyDescent="0.45">
      <c r="B542" s="46" cm="1">
        <f t="array" aca="1" ref="B542" ca="1">_xll.VoseSimValue(InterestOut,456)</f>
        <v>4.4279723402296543E-2</v>
      </c>
      <c r="C542" s="46" cm="1">
        <f t="array" aca="1" ref="C542" ca="1">_xll.VoseSimValue(MortgageOut,456)</f>
        <v>8.7556313958055021E-2</v>
      </c>
    </row>
    <row r="543" spans="2:3" hidden="1" outlineLevel="1" x14ac:dyDescent="0.45">
      <c r="B543" s="46" cm="1">
        <f t="array" aca="1" ref="B543" ca="1">_xll.VoseSimValue(InterestOut,457)</f>
        <v>6.1904617662015944E-2</v>
      </c>
      <c r="C543" s="46" cm="1">
        <f t="array" aca="1" ref="C543" ca="1">_xll.VoseSimValue(MortgageOut,457)</f>
        <v>0.11340630416215716</v>
      </c>
    </row>
    <row r="544" spans="2:3" hidden="1" outlineLevel="1" x14ac:dyDescent="0.45">
      <c r="B544" s="46" cm="1">
        <f t="array" aca="1" ref="B544" ca="1">_xll.VoseSimValue(InterestOut,458)</f>
        <v>3.5102564723422741E-2</v>
      </c>
      <c r="C544" s="46" cm="1">
        <f t="array" aca="1" ref="C544" ca="1">_xll.VoseSimValue(MortgageOut,458)</f>
        <v>9.2002623829199104E-2</v>
      </c>
    </row>
    <row r="545" spans="2:3" hidden="1" outlineLevel="1" x14ac:dyDescent="0.45">
      <c r="B545" s="46" cm="1">
        <f t="array" aca="1" ref="B545" ca="1">_xll.VoseSimValue(InterestOut,459)</f>
        <v>6.4787183929120695E-2</v>
      </c>
      <c r="C545" s="46" cm="1">
        <f t="array" aca="1" ref="C545" ca="1">_xll.VoseSimValue(MortgageOut,459)</f>
        <v>0.11414422116821453</v>
      </c>
    </row>
    <row r="546" spans="2:3" hidden="1" outlineLevel="1" x14ac:dyDescent="0.45">
      <c r="B546" s="46" cm="1">
        <f t="array" aca="1" ref="B546" ca="1">_xll.VoseSimValue(InterestOut,460)</f>
        <v>6.9150144453750617E-2</v>
      </c>
      <c r="C546" s="46" cm="1">
        <f t="array" aca="1" ref="C546" ca="1">_xll.VoseSimValue(MortgageOut,460)</f>
        <v>0.1180534046609692</v>
      </c>
    </row>
    <row r="547" spans="2:3" hidden="1" outlineLevel="1" x14ac:dyDescent="0.45">
      <c r="B547" s="46" cm="1">
        <f t="array" aca="1" ref="B547" ca="1">_xll.VoseSimValue(InterestOut,461)</f>
        <v>5.021955838672746E-2</v>
      </c>
      <c r="C547" s="46" cm="1">
        <f t="array" aca="1" ref="C547" ca="1">_xll.VoseSimValue(MortgageOut,461)</f>
        <v>0.10576827480067089</v>
      </c>
    </row>
    <row r="548" spans="2:3" hidden="1" outlineLevel="1" x14ac:dyDescent="0.45">
      <c r="B548" s="46" cm="1">
        <f t="array" aca="1" ref="B548" ca="1">_xll.VoseSimValue(InterestOut,462)</f>
        <v>4.9435203761808759E-2</v>
      </c>
      <c r="C548" s="46" cm="1">
        <f t="array" aca="1" ref="C548" ca="1">_xll.VoseSimValue(MortgageOut,462)</f>
        <v>0.11024566579479034</v>
      </c>
    </row>
    <row r="549" spans="2:3" hidden="1" outlineLevel="1" x14ac:dyDescent="0.45">
      <c r="B549" s="46" cm="1">
        <f t="array" aca="1" ref="B549" ca="1">_xll.VoseSimValue(InterestOut,463)</f>
        <v>5.2503257500580665E-2</v>
      </c>
      <c r="C549" s="46" cm="1">
        <f t="array" aca="1" ref="C549" ca="1">_xll.VoseSimValue(MortgageOut,463)</f>
        <v>9.3878785344518503E-2</v>
      </c>
    </row>
    <row r="550" spans="2:3" hidden="1" outlineLevel="1" x14ac:dyDescent="0.45">
      <c r="B550" s="46" cm="1">
        <f t="array" aca="1" ref="B550" ca="1">_xll.VoseSimValue(InterestOut,464)</f>
        <v>4.7217365764355174E-2</v>
      </c>
      <c r="C550" s="46" cm="1">
        <f t="array" aca="1" ref="C550" ca="1">_xll.VoseSimValue(MortgageOut,464)</f>
        <v>0.10822855283259711</v>
      </c>
    </row>
    <row r="551" spans="2:3" hidden="1" outlineLevel="1" x14ac:dyDescent="0.45">
      <c r="B551" s="46" cm="1">
        <f t="array" aca="1" ref="B551" ca="1">_xll.VoseSimValue(InterestOut,465)</f>
        <v>6.0108017683861925E-2</v>
      </c>
      <c r="C551" s="46" cm="1">
        <f t="array" aca="1" ref="C551" ca="1">_xll.VoseSimValue(MortgageOut,465)</f>
        <v>0.1048575674141992</v>
      </c>
    </row>
    <row r="552" spans="2:3" hidden="1" outlineLevel="1" x14ac:dyDescent="0.45">
      <c r="B552" s="46" cm="1">
        <f t="array" aca="1" ref="B552" ca="1">_xll.VoseSimValue(InterestOut,466)</f>
        <v>5.3331328009922296E-2</v>
      </c>
      <c r="C552" s="46" cm="1">
        <f t="array" aca="1" ref="C552" ca="1">_xll.VoseSimValue(MortgageOut,466)</f>
        <v>0.11021728086102867</v>
      </c>
    </row>
    <row r="553" spans="2:3" hidden="1" outlineLevel="1" x14ac:dyDescent="0.45">
      <c r="B553" s="46" cm="1">
        <f t="array" aca="1" ref="B553" ca="1">_xll.VoseSimValue(InterestOut,467)</f>
        <v>4.5553533832724161E-2</v>
      </c>
      <c r="C553" s="46" cm="1">
        <f t="array" aca="1" ref="C553" ca="1">_xll.VoseSimValue(MortgageOut,467)</f>
        <v>0.10699537302854772</v>
      </c>
    </row>
    <row r="554" spans="2:3" hidden="1" outlineLevel="1" x14ac:dyDescent="0.45">
      <c r="B554" s="46" cm="1">
        <f t="array" aca="1" ref="B554" ca="1">_xll.VoseSimValue(InterestOut,468)</f>
        <v>4.0492259201365739E-2</v>
      </c>
      <c r="C554" s="46" cm="1">
        <f t="array" aca="1" ref="C554" ca="1">_xll.VoseSimValue(MortgageOut,468)</f>
        <v>9.9157391872366982E-2</v>
      </c>
    </row>
    <row r="555" spans="2:3" hidden="1" outlineLevel="1" x14ac:dyDescent="0.45">
      <c r="B555" s="46" cm="1">
        <f t="array" aca="1" ref="B555" ca="1">_xll.VoseSimValue(InterestOut,469)</f>
        <v>5.1016928658196903E-2</v>
      </c>
      <c r="C555" s="46" cm="1">
        <f t="array" aca="1" ref="C555" ca="1">_xll.VoseSimValue(MortgageOut,469)</f>
        <v>9.7172457070635182E-2</v>
      </c>
    </row>
    <row r="556" spans="2:3" hidden="1" outlineLevel="1" x14ac:dyDescent="0.45">
      <c r="B556" s="46" cm="1">
        <f t="array" aca="1" ref="B556" ca="1">_xll.VoseSimValue(InterestOut,470)</f>
        <v>6.7726091863182153E-2</v>
      </c>
      <c r="C556" s="46" cm="1">
        <f t="array" aca="1" ref="C556" ca="1">_xll.VoseSimValue(MortgageOut,470)</f>
        <v>0.12511206673307562</v>
      </c>
    </row>
    <row r="557" spans="2:3" hidden="1" outlineLevel="1" x14ac:dyDescent="0.45">
      <c r="B557" s="46" cm="1">
        <f t="array" aca="1" ref="B557" ca="1">_xll.VoseSimValue(InterestOut,471)</f>
        <v>5.3934454125599607E-2</v>
      </c>
      <c r="C557" s="46" cm="1">
        <f t="array" aca="1" ref="C557" ca="1">_xll.VoseSimValue(MortgageOut,471)</f>
        <v>0.10451801073636477</v>
      </c>
    </row>
    <row r="558" spans="2:3" hidden="1" outlineLevel="1" x14ac:dyDescent="0.45">
      <c r="B558" s="46" cm="1">
        <f t="array" aca="1" ref="B558" ca="1">_xll.VoseSimValue(InterestOut,472)</f>
        <v>4.6328815753857652E-2</v>
      </c>
      <c r="C558" s="46" cm="1">
        <f t="array" aca="1" ref="C558" ca="1">_xll.VoseSimValue(MortgageOut,472)</f>
        <v>0.10303096666507186</v>
      </c>
    </row>
    <row r="559" spans="2:3" hidden="1" outlineLevel="1" x14ac:dyDescent="0.45">
      <c r="B559" s="46" cm="1">
        <f t="array" aca="1" ref="B559" ca="1">_xll.VoseSimValue(InterestOut,473)</f>
        <v>3.4273904395502028E-2</v>
      </c>
      <c r="C559" s="46" cm="1">
        <f t="array" aca="1" ref="C559" ca="1">_xll.VoseSimValue(MortgageOut,473)</f>
        <v>9.760315569111247E-2</v>
      </c>
    </row>
    <row r="560" spans="2:3" hidden="1" outlineLevel="1" x14ac:dyDescent="0.45">
      <c r="B560" s="46" cm="1">
        <f t="array" aca="1" ref="B560" ca="1">_xll.VoseSimValue(InterestOut,474)</f>
        <v>6.795626664824081E-2</v>
      </c>
      <c r="C560" s="46" cm="1">
        <f t="array" aca="1" ref="C560" ca="1">_xll.VoseSimValue(MortgageOut,474)</f>
        <v>9.3612486913990725E-2</v>
      </c>
    </row>
    <row r="561" spans="2:3" hidden="1" outlineLevel="1" x14ac:dyDescent="0.45">
      <c r="B561" s="46" cm="1">
        <f t="array" aca="1" ref="B561" ca="1">_xll.VoseSimValue(InterestOut,475)</f>
        <v>5.377961846841027E-2</v>
      </c>
      <c r="C561" s="46" cm="1">
        <f t="array" aca="1" ref="C561" ca="1">_xll.VoseSimValue(MortgageOut,475)</f>
        <v>0.10030907324831828</v>
      </c>
    </row>
    <row r="562" spans="2:3" hidden="1" outlineLevel="1" x14ac:dyDescent="0.45">
      <c r="B562" s="46" cm="1">
        <f t="array" aca="1" ref="B562" ca="1">_xll.VoseSimValue(InterestOut,476)</f>
        <v>4.3585729595405152E-2</v>
      </c>
      <c r="C562" s="46" cm="1">
        <f t="array" aca="1" ref="C562" ca="1">_xll.VoseSimValue(MortgageOut,476)</f>
        <v>9.6637171808976116E-2</v>
      </c>
    </row>
    <row r="563" spans="2:3" hidden="1" outlineLevel="1" x14ac:dyDescent="0.45">
      <c r="B563" s="46" cm="1">
        <f t="array" aca="1" ref="B563" ca="1">_xll.VoseSimValue(InterestOut,477)</f>
        <v>4.9532506758659819E-2</v>
      </c>
      <c r="C563" s="46" cm="1">
        <f t="array" aca="1" ref="C563" ca="1">_xll.VoseSimValue(MortgageOut,477)</f>
        <v>9.1463434355816914E-2</v>
      </c>
    </row>
    <row r="564" spans="2:3" hidden="1" outlineLevel="1" x14ac:dyDescent="0.45">
      <c r="B564" s="46" cm="1">
        <f t="array" aca="1" ref="B564" ca="1">_xll.VoseSimValue(InterestOut,478)</f>
        <v>4.4491900303289672E-2</v>
      </c>
      <c r="C564" s="46" cm="1">
        <f t="array" aca="1" ref="C564" ca="1">_xll.VoseSimValue(MortgageOut,478)</f>
        <v>8.7694882158452142E-2</v>
      </c>
    </row>
    <row r="565" spans="2:3" hidden="1" outlineLevel="1" x14ac:dyDescent="0.45">
      <c r="B565" s="46" cm="1">
        <f t="array" aca="1" ref="B565" ca="1">_xll.VoseSimValue(InterestOut,479)</f>
        <v>6.0431393375054515E-2</v>
      </c>
      <c r="C565" s="46" cm="1">
        <f t="array" aca="1" ref="C565" ca="1">_xll.VoseSimValue(MortgageOut,479)</f>
        <v>0.11981237390702998</v>
      </c>
    </row>
    <row r="566" spans="2:3" hidden="1" outlineLevel="1" x14ac:dyDescent="0.45">
      <c r="B566" s="46" cm="1">
        <f t="array" aca="1" ref="B566" ca="1">_xll.VoseSimValue(InterestOut,480)</f>
        <v>6.272946331275743E-2</v>
      </c>
      <c r="C566" s="46" cm="1">
        <f t="array" aca="1" ref="C566" ca="1">_xll.VoseSimValue(MortgageOut,480)</f>
        <v>0.12444597601859744</v>
      </c>
    </row>
    <row r="567" spans="2:3" hidden="1" outlineLevel="1" x14ac:dyDescent="0.45">
      <c r="B567" s="46" cm="1">
        <f t="array" aca="1" ref="B567" ca="1">_xll.VoseSimValue(InterestOut,481)</f>
        <v>4.637370286455221E-2</v>
      </c>
      <c r="C567" s="46" cm="1">
        <f t="array" aca="1" ref="C567" ca="1">_xll.VoseSimValue(MortgageOut,481)</f>
        <v>0.10069638875382743</v>
      </c>
    </row>
    <row r="568" spans="2:3" hidden="1" outlineLevel="1" x14ac:dyDescent="0.45">
      <c r="B568" s="46" cm="1">
        <f t="array" aca="1" ref="B568" ca="1">_xll.VoseSimValue(InterestOut,482)</f>
        <v>4.4095050054268746E-2</v>
      </c>
      <c r="C568" s="46" cm="1">
        <f t="array" aca="1" ref="C568" ca="1">_xll.VoseSimValue(MortgageOut,482)</f>
        <v>7.9298278944908651E-2</v>
      </c>
    </row>
    <row r="569" spans="2:3" hidden="1" outlineLevel="1" x14ac:dyDescent="0.45">
      <c r="B569" s="46" cm="1">
        <f t="array" aca="1" ref="B569" ca="1">_xll.VoseSimValue(InterestOut,483)</f>
        <v>6.4122099152810211E-2</v>
      </c>
      <c r="C569" s="46" cm="1">
        <f t="array" aca="1" ref="C569" ca="1">_xll.VoseSimValue(MortgageOut,483)</f>
        <v>0.12074621822837106</v>
      </c>
    </row>
    <row r="570" spans="2:3" hidden="1" outlineLevel="1" x14ac:dyDescent="0.45">
      <c r="B570" s="46" cm="1">
        <f t="array" aca="1" ref="B570" ca="1">_xll.VoseSimValue(InterestOut,484)</f>
        <v>6.0723420931821412E-2</v>
      </c>
      <c r="C570" s="46" cm="1">
        <f t="array" aca="1" ref="C570" ca="1">_xll.VoseSimValue(MortgageOut,484)</f>
        <v>9.7838086654858977E-2</v>
      </c>
    </row>
    <row r="571" spans="2:3" hidden="1" outlineLevel="1" x14ac:dyDescent="0.45">
      <c r="B571" s="46" cm="1">
        <f t="array" aca="1" ref="B571" ca="1">_xll.VoseSimValue(InterestOut,485)</f>
        <v>5.3352790230270099E-2</v>
      </c>
      <c r="C571" s="46" cm="1">
        <f t="array" aca="1" ref="C571" ca="1">_xll.VoseSimValue(MortgageOut,485)</f>
        <v>8.937806075773308E-2</v>
      </c>
    </row>
    <row r="572" spans="2:3" hidden="1" outlineLevel="1" x14ac:dyDescent="0.45">
      <c r="B572" s="46" cm="1">
        <f t="array" aca="1" ref="B572" ca="1">_xll.VoseSimValue(InterestOut,486)</f>
        <v>5.243775189307566E-2</v>
      </c>
      <c r="C572" s="46" cm="1">
        <f t="array" aca="1" ref="C572" ca="1">_xll.VoseSimValue(MortgageOut,486)</f>
        <v>0.1005260996594191</v>
      </c>
    </row>
    <row r="573" spans="2:3" hidden="1" outlineLevel="1" x14ac:dyDescent="0.45">
      <c r="B573" s="46" cm="1">
        <f t="array" aca="1" ref="B573" ca="1">_xll.VoseSimValue(InterestOut,487)</f>
        <v>4.2502580802391776E-2</v>
      </c>
      <c r="C573" s="46" cm="1">
        <f t="array" aca="1" ref="C573" ca="1">_xll.VoseSimValue(MortgageOut,487)</f>
        <v>9.251190215996824E-2</v>
      </c>
    </row>
    <row r="574" spans="2:3" hidden="1" outlineLevel="1" x14ac:dyDescent="0.45">
      <c r="B574" s="46" cm="1">
        <f t="array" aca="1" ref="B574" ca="1">_xll.VoseSimValue(InterestOut,488)</f>
        <v>4.2736794188294347E-2</v>
      </c>
      <c r="C574" s="46" cm="1">
        <f t="array" aca="1" ref="C574" ca="1">_xll.VoseSimValue(MortgageOut,488)</f>
        <v>9.7017395040925852E-2</v>
      </c>
    </row>
    <row r="575" spans="2:3" hidden="1" outlineLevel="1" x14ac:dyDescent="0.45">
      <c r="B575" s="46" cm="1">
        <f t="array" aca="1" ref="B575" ca="1">_xll.VoseSimValue(InterestOut,489)</f>
        <v>5.9723129027556471E-2</v>
      </c>
      <c r="C575" s="46" cm="1">
        <f t="array" aca="1" ref="C575" ca="1">_xll.VoseSimValue(MortgageOut,489)</f>
        <v>8.9442374039866393E-2</v>
      </c>
    </row>
    <row r="576" spans="2:3" hidden="1" outlineLevel="1" x14ac:dyDescent="0.45">
      <c r="B576" s="46" cm="1">
        <f t="array" aca="1" ref="B576" ca="1">_xll.VoseSimValue(InterestOut,490)</f>
        <v>5.3652381199599287E-2</v>
      </c>
      <c r="C576" s="46" cm="1">
        <f t="array" aca="1" ref="C576" ca="1">_xll.VoseSimValue(MortgageOut,490)</f>
        <v>9.3383984253665508E-2</v>
      </c>
    </row>
    <row r="577" spans="2:3" hidden="1" outlineLevel="1" x14ac:dyDescent="0.45">
      <c r="B577" s="46" cm="1">
        <f t="array" aca="1" ref="B577" ca="1">_xll.VoseSimValue(InterestOut,491)</f>
        <v>5.4292215481544767E-2</v>
      </c>
      <c r="C577" s="46" cm="1">
        <f t="array" aca="1" ref="C577" ca="1">_xll.VoseSimValue(MortgageOut,491)</f>
        <v>9.9865571114128332E-2</v>
      </c>
    </row>
    <row r="578" spans="2:3" hidden="1" outlineLevel="1" x14ac:dyDescent="0.45">
      <c r="B578" s="46" cm="1">
        <f t="array" aca="1" ref="B578" ca="1">_xll.VoseSimValue(InterestOut,492)</f>
        <v>3.6851811842608634E-2</v>
      </c>
      <c r="C578" s="46" cm="1">
        <f t="array" aca="1" ref="C578" ca="1">_xll.VoseSimValue(MortgageOut,492)</f>
        <v>8.8186063495727704E-2</v>
      </c>
    </row>
    <row r="579" spans="2:3" hidden="1" outlineLevel="1" x14ac:dyDescent="0.45">
      <c r="B579" s="46" cm="1">
        <f t="array" aca="1" ref="B579" ca="1">_xll.VoseSimValue(InterestOut,493)</f>
        <v>3.7192619711486394E-2</v>
      </c>
      <c r="C579" s="46" cm="1">
        <f t="array" aca="1" ref="C579" ca="1">_xll.VoseSimValue(MortgageOut,493)</f>
        <v>9.359604068867397E-2</v>
      </c>
    </row>
    <row r="580" spans="2:3" hidden="1" outlineLevel="1" x14ac:dyDescent="0.45">
      <c r="B580" s="46" cm="1">
        <f t="array" aca="1" ref="B580" ca="1">_xll.VoseSimValue(InterestOut,494)</f>
        <v>3.4311925218886374E-2</v>
      </c>
      <c r="C580" s="46" cm="1">
        <f t="array" aca="1" ref="C580" ca="1">_xll.VoseSimValue(MortgageOut,494)</f>
        <v>9.2602809325742691E-2</v>
      </c>
    </row>
    <row r="581" spans="2:3" hidden="1" outlineLevel="1" x14ac:dyDescent="0.45">
      <c r="B581" s="46" cm="1">
        <f t="array" aca="1" ref="B581" ca="1">_xll.VoseSimValue(InterestOut,495)</f>
        <v>4.9178557444886792E-2</v>
      </c>
      <c r="C581" s="46" cm="1">
        <f t="array" aca="1" ref="C581" ca="1">_xll.VoseSimValue(MortgageOut,495)</f>
        <v>8.6943811584426392E-2</v>
      </c>
    </row>
    <row r="582" spans="2:3" hidden="1" outlineLevel="1" x14ac:dyDescent="0.45">
      <c r="B582" s="46" cm="1">
        <f t="array" aca="1" ref="B582" ca="1">_xll.VoseSimValue(InterestOut,496)</f>
        <v>3.6946762796856894E-2</v>
      </c>
      <c r="C582" s="46" cm="1">
        <f t="array" aca="1" ref="C582" ca="1">_xll.VoseSimValue(MortgageOut,496)</f>
        <v>7.5623774580102929E-2</v>
      </c>
    </row>
    <row r="583" spans="2:3" hidden="1" outlineLevel="1" x14ac:dyDescent="0.45">
      <c r="B583" s="46" cm="1">
        <f t="array" aca="1" ref="B583" ca="1">_xll.VoseSimValue(InterestOut,497)</f>
        <v>5.6214447510886362E-2</v>
      </c>
      <c r="C583" s="46" cm="1">
        <f t="array" aca="1" ref="C583" ca="1">_xll.VoseSimValue(MortgageOut,497)</f>
        <v>0.10334511519301673</v>
      </c>
    </row>
    <row r="584" spans="2:3" hidden="1" outlineLevel="1" x14ac:dyDescent="0.45">
      <c r="B584" s="46" cm="1">
        <f t="array" aca="1" ref="B584" ca="1">_xll.VoseSimValue(InterestOut,498)</f>
        <v>4.8631602217896711E-2</v>
      </c>
      <c r="C584" s="46" cm="1">
        <f t="array" aca="1" ref="C584" ca="1">_xll.VoseSimValue(MortgageOut,498)</f>
        <v>0.11151075199090854</v>
      </c>
    </row>
    <row r="585" spans="2:3" hidden="1" outlineLevel="1" x14ac:dyDescent="0.45">
      <c r="B585" s="46" cm="1">
        <f t="array" aca="1" ref="B585" ca="1">_xll.VoseSimValue(InterestOut,499)</f>
        <v>6.5548253563464706E-2</v>
      </c>
      <c r="C585" s="46" cm="1">
        <f t="array" aca="1" ref="C585" ca="1">_xll.VoseSimValue(MortgageOut,499)</f>
        <v>0.14003066859042326</v>
      </c>
    </row>
    <row r="586" spans="2:3" hidden="1" outlineLevel="1" x14ac:dyDescent="0.45">
      <c r="B586" s="46" cm="1">
        <f t="array" aca="1" ref="B586" ca="1">_xll.VoseSimValue(InterestOut,500)</f>
        <v>5.3326880446935329E-2</v>
      </c>
      <c r="C586" s="46" cm="1">
        <f t="array" aca="1" ref="C586" ca="1">_xll.VoseSimValue(MortgageOut,500)</f>
        <v>0.11187198991045308</v>
      </c>
    </row>
    <row r="587" spans="2:3" hidden="1" outlineLevel="1" x14ac:dyDescent="0.45">
      <c r="B587" s="46" cm="1">
        <f t="array" aca="1" ref="B587" ca="1">_xll.VoseSimValue(InterestOut,501)</f>
        <v>3.1001915381186507E-2</v>
      </c>
      <c r="C587" s="46" cm="1">
        <f t="array" aca="1" ref="C587" ca="1">_xll.VoseSimValue(MortgageOut,501)</f>
        <v>9.5265414020860431E-2</v>
      </c>
    </row>
    <row r="588" spans="2:3" hidden="1" outlineLevel="1" x14ac:dyDescent="0.45">
      <c r="B588" s="46" cm="1">
        <f t="array" aca="1" ref="B588" ca="1">_xll.VoseSimValue(InterestOut,502)</f>
        <v>6.2897414301650134E-2</v>
      </c>
      <c r="C588" s="46" cm="1">
        <f t="array" aca="1" ref="C588" ca="1">_xll.VoseSimValue(MortgageOut,502)</f>
        <v>0.10314754053195652</v>
      </c>
    </row>
    <row r="589" spans="2:3" hidden="1" outlineLevel="1" x14ac:dyDescent="0.45">
      <c r="B589" s="46" cm="1">
        <f t="array" aca="1" ref="B589" ca="1">_xll.VoseSimValue(InterestOut,503)</f>
        <v>7.0426923509936692E-2</v>
      </c>
      <c r="C589" s="46" cm="1">
        <f t="array" aca="1" ref="C589" ca="1">_xll.VoseSimValue(MortgageOut,503)</f>
        <v>0.12288398127920726</v>
      </c>
    </row>
    <row r="590" spans="2:3" hidden="1" outlineLevel="1" x14ac:dyDescent="0.45">
      <c r="B590" s="46" cm="1">
        <f t="array" aca="1" ref="B590" ca="1">_xll.VoseSimValue(InterestOut,504)</f>
        <v>5.9660339500662442E-2</v>
      </c>
      <c r="C590" s="46" cm="1">
        <f t="array" aca="1" ref="C590" ca="1">_xll.VoseSimValue(MortgageOut,504)</f>
        <v>0.11393100168910811</v>
      </c>
    </row>
    <row r="591" spans="2:3" hidden="1" outlineLevel="1" x14ac:dyDescent="0.45">
      <c r="B591" s="46" cm="1">
        <f t="array" aca="1" ref="B591" ca="1">_xll.VoseSimValue(InterestOut,505)</f>
        <v>4.8027211974242298E-2</v>
      </c>
      <c r="C591" s="46" cm="1">
        <f t="array" aca="1" ref="C591" ca="1">_xll.VoseSimValue(MortgageOut,505)</f>
        <v>0.10732060520918238</v>
      </c>
    </row>
    <row r="592" spans="2:3" hidden="1" outlineLevel="1" x14ac:dyDescent="0.45">
      <c r="B592" s="46" cm="1">
        <f t="array" aca="1" ref="B592" ca="1">_xll.VoseSimValue(InterestOut,506)</f>
        <v>4.4667055743677797E-2</v>
      </c>
      <c r="C592" s="46" cm="1">
        <f t="array" aca="1" ref="C592" ca="1">_xll.VoseSimValue(MortgageOut,506)</f>
        <v>0.10699682756126487</v>
      </c>
    </row>
    <row r="593" spans="2:3" hidden="1" outlineLevel="1" x14ac:dyDescent="0.45">
      <c r="B593" s="46" cm="1">
        <f t="array" aca="1" ref="B593" ca="1">_xll.VoseSimValue(InterestOut,507)</f>
        <v>7.0049755678972231E-2</v>
      </c>
      <c r="C593" s="46" cm="1">
        <f t="array" aca="1" ref="C593" ca="1">_xll.VoseSimValue(MortgageOut,507)</f>
        <v>0.12717907999081415</v>
      </c>
    </row>
    <row r="594" spans="2:3" hidden="1" outlineLevel="1" x14ac:dyDescent="0.45">
      <c r="B594" s="46" cm="1">
        <f t="array" aca="1" ref="B594" ca="1">_xll.VoseSimValue(InterestOut,508)</f>
        <v>3.8645739363209086E-2</v>
      </c>
      <c r="C594" s="46" cm="1">
        <f t="array" aca="1" ref="C594" ca="1">_xll.VoseSimValue(MortgageOut,508)</f>
        <v>9.3085182490748541E-2</v>
      </c>
    </row>
    <row r="595" spans="2:3" hidden="1" outlineLevel="1" x14ac:dyDescent="0.45">
      <c r="B595" s="46" cm="1">
        <f t="array" aca="1" ref="B595" ca="1">_xll.VoseSimValue(InterestOut,509)</f>
        <v>5.4089257522720958E-2</v>
      </c>
      <c r="C595" s="46" cm="1">
        <f t="array" aca="1" ref="C595" ca="1">_xll.VoseSimValue(MortgageOut,509)</f>
        <v>0.10625092615363789</v>
      </c>
    </row>
    <row r="596" spans="2:3" hidden="1" outlineLevel="1" x14ac:dyDescent="0.45">
      <c r="B596" s="46" cm="1">
        <f t="array" aca="1" ref="B596" ca="1">_xll.VoseSimValue(InterestOut,510)</f>
        <v>4.162249290280999E-2</v>
      </c>
      <c r="C596" s="46" cm="1">
        <f t="array" aca="1" ref="C596" ca="1">_xll.VoseSimValue(MortgageOut,510)</f>
        <v>0.11301791996513669</v>
      </c>
    </row>
    <row r="597" spans="2:3" hidden="1" outlineLevel="1" x14ac:dyDescent="0.45">
      <c r="B597" s="46" cm="1">
        <f t="array" aca="1" ref="B597" ca="1">_xll.VoseSimValue(InterestOut,511)</f>
        <v>6.1257956010308284E-2</v>
      </c>
      <c r="C597" s="46" cm="1">
        <f t="array" aca="1" ref="C597" ca="1">_xll.VoseSimValue(MortgageOut,511)</f>
        <v>0.12632775823495618</v>
      </c>
    </row>
    <row r="598" spans="2:3" hidden="1" outlineLevel="1" x14ac:dyDescent="0.45">
      <c r="B598" s="46" cm="1">
        <f t="array" aca="1" ref="B598" ca="1">_xll.VoseSimValue(InterestOut,512)</f>
        <v>4.3311669726161531E-2</v>
      </c>
      <c r="C598" s="46" cm="1">
        <f t="array" aca="1" ref="C598" ca="1">_xll.VoseSimValue(MortgageOut,512)</f>
        <v>9.1198764651973213E-2</v>
      </c>
    </row>
    <row r="599" spans="2:3" hidden="1" outlineLevel="1" x14ac:dyDescent="0.45">
      <c r="B599" s="46" cm="1">
        <f t="array" aca="1" ref="B599" ca="1">_xll.VoseSimValue(InterestOut,513)</f>
        <v>5.3267342892682229E-2</v>
      </c>
      <c r="C599" s="46" cm="1">
        <f t="array" aca="1" ref="C599" ca="1">_xll.VoseSimValue(MortgageOut,513)</f>
        <v>9.6195275519014439E-2</v>
      </c>
    </row>
    <row r="600" spans="2:3" hidden="1" outlineLevel="1" x14ac:dyDescent="0.45">
      <c r="B600" s="46" cm="1">
        <f t="array" aca="1" ref="B600" ca="1">_xll.VoseSimValue(InterestOut,514)</f>
        <v>4.9104687888372425E-2</v>
      </c>
      <c r="C600" s="46" cm="1">
        <f t="array" aca="1" ref="C600" ca="1">_xll.VoseSimValue(MortgageOut,514)</f>
        <v>0.11227074577955665</v>
      </c>
    </row>
    <row r="601" spans="2:3" hidden="1" outlineLevel="1" x14ac:dyDescent="0.45">
      <c r="B601" s="46" cm="1">
        <f t="array" aca="1" ref="B601" ca="1">_xll.VoseSimValue(InterestOut,515)</f>
        <v>5.4741469799282447E-2</v>
      </c>
      <c r="C601" s="46" cm="1">
        <f t="array" aca="1" ref="C601" ca="1">_xll.VoseSimValue(MortgageOut,515)</f>
        <v>0.11808630345377513</v>
      </c>
    </row>
    <row r="602" spans="2:3" hidden="1" outlineLevel="1" x14ac:dyDescent="0.45">
      <c r="B602" s="46" cm="1">
        <f t="array" aca="1" ref="B602" ca="1">_xll.VoseSimValue(InterestOut,516)</f>
        <v>4.725509037857395E-2</v>
      </c>
      <c r="C602" s="46" cm="1">
        <f t="array" aca="1" ref="C602" ca="1">_xll.VoseSimValue(MortgageOut,516)</f>
        <v>9.7387914179114979E-2</v>
      </c>
    </row>
    <row r="603" spans="2:3" hidden="1" outlineLevel="1" x14ac:dyDescent="0.45">
      <c r="B603" s="46" cm="1">
        <f t="array" aca="1" ref="B603" ca="1">_xll.VoseSimValue(InterestOut,517)</f>
        <v>4.554952250822214E-2</v>
      </c>
      <c r="C603" s="46" cm="1">
        <f t="array" aca="1" ref="C603" ca="1">_xll.VoseSimValue(MortgageOut,517)</f>
        <v>8.2165056461076469E-2</v>
      </c>
    </row>
    <row r="604" spans="2:3" hidden="1" outlineLevel="1" x14ac:dyDescent="0.45">
      <c r="B604" s="46" cm="1">
        <f t="array" aca="1" ref="B604" ca="1">_xll.VoseSimValue(InterestOut,518)</f>
        <v>5.6840251747158343E-2</v>
      </c>
      <c r="C604" s="46" cm="1">
        <f t="array" aca="1" ref="C604" ca="1">_xll.VoseSimValue(MortgageOut,518)</f>
        <v>0.12154643027647841</v>
      </c>
    </row>
    <row r="605" spans="2:3" hidden="1" outlineLevel="1" x14ac:dyDescent="0.45">
      <c r="B605" s="46" cm="1">
        <f t="array" aca="1" ref="B605" ca="1">_xll.VoseSimValue(InterestOut,519)</f>
        <v>5.3597492093978238E-2</v>
      </c>
      <c r="C605" s="46" cm="1">
        <f t="array" aca="1" ref="C605" ca="1">_xll.VoseSimValue(MortgageOut,519)</f>
        <v>0.11837041640659235</v>
      </c>
    </row>
    <row r="606" spans="2:3" hidden="1" outlineLevel="1" x14ac:dyDescent="0.45">
      <c r="B606" s="46" cm="1">
        <f t="array" aca="1" ref="B606" ca="1">_xll.VoseSimValue(InterestOut,520)</f>
        <v>5.6768015780970876E-2</v>
      </c>
      <c r="C606" s="46" cm="1">
        <f t="array" aca="1" ref="C606" ca="1">_xll.VoseSimValue(MortgageOut,520)</f>
        <v>0.11911523346863205</v>
      </c>
    </row>
    <row r="607" spans="2:3" hidden="1" outlineLevel="1" x14ac:dyDescent="0.45">
      <c r="B607" s="46" cm="1">
        <f t="array" aca="1" ref="B607" ca="1">_xll.VoseSimValue(InterestOut,521)</f>
        <v>5.842628590127695E-2</v>
      </c>
      <c r="C607" s="46" cm="1">
        <f t="array" aca="1" ref="C607" ca="1">_xll.VoseSimValue(MortgageOut,521)</f>
        <v>0.11689875073825012</v>
      </c>
    </row>
    <row r="608" spans="2:3" hidden="1" outlineLevel="1" x14ac:dyDescent="0.45">
      <c r="B608" s="46" cm="1">
        <f t="array" aca="1" ref="B608" ca="1">_xll.VoseSimValue(InterestOut,522)</f>
        <v>3.8287931757045812E-2</v>
      </c>
      <c r="C608" s="46" cm="1">
        <f t="array" aca="1" ref="C608" ca="1">_xll.VoseSimValue(MortgageOut,522)</f>
        <v>7.8616116975414235E-2</v>
      </c>
    </row>
    <row r="609" spans="2:3" hidden="1" outlineLevel="1" x14ac:dyDescent="0.45">
      <c r="B609" s="46" cm="1">
        <f t="array" aca="1" ref="B609" ca="1">_xll.VoseSimValue(InterestOut,523)</f>
        <v>6.2485947803828185E-2</v>
      </c>
      <c r="C609" s="46" cm="1">
        <f t="array" aca="1" ref="C609" ca="1">_xll.VoseSimValue(MortgageOut,523)</f>
        <v>0.11417256916726967</v>
      </c>
    </row>
    <row r="610" spans="2:3" hidden="1" outlineLevel="1" x14ac:dyDescent="0.45">
      <c r="B610" s="46" cm="1">
        <f t="array" aca="1" ref="B610" ca="1">_xll.VoseSimValue(InterestOut,524)</f>
        <v>3.6090360663164532E-2</v>
      </c>
      <c r="C610" s="46" cm="1">
        <f t="array" aca="1" ref="C610" ca="1">_xll.VoseSimValue(MortgageOut,524)</f>
        <v>9.2480747177621392E-2</v>
      </c>
    </row>
    <row r="611" spans="2:3" hidden="1" outlineLevel="1" x14ac:dyDescent="0.45">
      <c r="B611" s="46" cm="1">
        <f t="array" aca="1" ref="B611" ca="1">_xll.VoseSimValue(InterestOut,525)</f>
        <v>5.859382250783772E-2</v>
      </c>
      <c r="C611" s="46" cm="1">
        <f t="array" aca="1" ref="C611" ca="1">_xll.VoseSimValue(MortgageOut,525)</f>
        <v>0.11693764522236524</v>
      </c>
    </row>
    <row r="612" spans="2:3" hidden="1" outlineLevel="1" x14ac:dyDescent="0.45">
      <c r="B612" s="46" cm="1">
        <f t="array" aca="1" ref="B612" ca="1">_xll.VoseSimValue(InterestOut,526)</f>
        <v>5.9775581063067976E-2</v>
      </c>
      <c r="C612" s="46" cm="1">
        <f t="array" aca="1" ref="C612" ca="1">_xll.VoseSimValue(MortgageOut,526)</f>
        <v>0.12362511836072722</v>
      </c>
    </row>
    <row r="613" spans="2:3" hidden="1" outlineLevel="1" x14ac:dyDescent="0.45">
      <c r="B613" s="46" cm="1">
        <f t="array" aca="1" ref="B613" ca="1">_xll.VoseSimValue(InterestOut,527)</f>
        <v>5.6784658802241178E-2</v>
      </c>
      <c r="C613" s="46" cm="1">
        <f t="array" aca="1" ref="C613" ca="1">_xll.VoseSimValue(MortgageOut,527)</f>
        <v>0.10888038393501145</v>
      </c>
    </row>
    <row r="614" spans="2:3" hidden="1" outlineLevel="1" x14ac:dyDescent="0.45">
      <c r="B614" s="46" cm="1">
        <f t="array" aca="1" ref="B614" ca="1">_xll.VoseSimValue(InterestOut,528)</f>
        <v>6.4522756088414901E-2</v>
      </c>
      <c r="C614" s="46" cm="1">
        <f t="array" aca="1" ref="C614" ca="1">_xll.VoseSimValue(MortgageOut,528)</f>
        <v>0.12185774962113402</v>
      </c>
    </row>
    <row r="615" spans="2:3" hidden="1" outlineLevel="1" x14ac:dyDescent="0.45">
      <c r="B615" s="46" cm="1">
        <f t="array" aca="1" ref="B615" ca="1">_xll.VoseSimValue(InterestOut,529)</f>
        <v>6.2759902817610985E-2</v>
      </c>
      <c r="C615" s="46" cm="1">
        <f t="array" aca="1" ref="C615" ca="1">_xll.VoseSimValue(MortgageOut,529)</f>
        <v>0.12486651927542818</v>
      </c>
    </row>
    <row r="616" spans="2:3" hidden="1" outlineLevel="1" x14ac:dyDescent="0.45">
      <c r="B616" s="46" cm="1">
        <f t="array" aca="1" ref="B616" ca="1">_xll.VoseSimValue(InterestOut,530)</f>
        <v>3.2629541654468831E-2</v>
      </c>
      <c r="C616" s="46" cm="1">
        <f t="array" aca="1" ref="C616" ca="1">_xll.VoseSimValue(MortgageOut,530)</f>
        <v>7.9538018544037109E-2</v>
      </c>
    </row>
    <row r="617" spans="2:3" hidden="1" outlineLevel="1" x14ac:dyDescent="0.45">
      <c r="B617" s="46" cm="1">
        <f t="array" aca="1" ref="B617" ca="1">_xll.VoseSimValue(InterestOut,531)</f>
        <v>4.6577326238555053E-2</v>
      </c>
      <c r="C617" s="46" cm="1">
        <f t="array" aca="1" ref="C617" ca="1">_xll.VoseSimValue(MortgageOut,531)</f>
        <v>8.7204599873596564E-2</v>
      </c>
    </row>
    <row r="618" spans="2:3" hidden="1" outlineLevel="1" x14ac:dyDescent="0.45">
      <c r="B618" s="46" cm="1">
        <f t="array" aca="1" ref="B618" ca="1">_xll.VoseSimValue(InterestOut,532)</f>
        <v>4.4941747046897206E-2</v>
      </c>
      <c r="C618" s="46" cm="1">
        <f t="array" aca="1" ref="C618" ca="1">_xll.VoseSimValue(MortgageOut,532)</f>
        <v>8.8595846050294344E-2</v>
      </c>
    </row>
    <row r="619" spans="2:3" hidden="1" outlineLevel="1" x14ac:dyDescent="0.45">
      <c r="B619" s="46" cm="1">
        <f t="array" aca="1" ref="B619" ca="1">_xll.VoseSimValue(InterestOut,533)</f>
        <v>5.5969874700456286E-2</v>
      </c>
      <c r="C619" s="46" cm="1">
        <f t="array" aca="1" ref="C619" ca="1">_xll.VoseSimValue(MortgageOut,533)</f>
        <v>0.10940796821590792</v>
      </c>
    </row>
    <row r="620" spans="2:3" hidden="1" outlineLevel="1" x14ac:dyDescent="0.45">
      <c r="B620" s="46" cm="1">
        <f t="array" aca="1" ref="B620" ca="1">_xll.VoseSimValue(InterestOut,534)</f>
        <v>5.0416158655280201E-2</v>
      </c>
      <c r="C620" s="46" cm="1">
        <f t="array" aca="1" ref="C620" ca="1">_xll.VoseSimValue(MortgageOut,534)</f>
        <v>0.10513640622148629</v>
      </c>
    </row>
    <row r="621" spans="2:3" hidden="1" outlineLevel="1" x14ac:dyDescent="0.45">
      <c r="B621" s="46" cm="1">
        <f t="array" aca="1" ref="B621" ca="1">_xll.VoseSimValue(InterestOut,535)</f>
        <v>4.9983449028642074E-2</v>
      </c>
      <c r="C621" s="46" cm="1">
        <f t="array" aca="1" ref="C621" ca="1">_xll.VoseSimValue(MortgageOut,535)</f>
        <v>0.11440576305212301</v>
      </c>
    </row>
    <row r="622" spans="2:3" hidden="1" outlineLevel="1" x14ac:dyDescent="0.45">
      <c r="B622" s="46" cm="1">
        <f t="array" aca="1" ref="B622" ca="1">_xll.VoseSimValue(InterestOut,536)</f>
        <v>4.7580386418305171E-2</v>
      </c>
      <c r="C622" s="46" cm="1">
        <f t="array" aca="1" ref="C622" ca="1">_xll.VoseSimValue(MortgageOut,536)</f>
        <v>8.2720091112127719E-2</v>
      </c>
    </row>
    <row r="623" spans="2:3" hidden="1" outlineLevel="1" x14ac:dyDescent="0.45">
      <c r="B623" s="46" cm="1">
        <f t="array" aca="1" ref="B623" ca="1">_xll.VoseSimValue(InterestOut,537)</f>
        <v>4.8173776853228378E-2</v>
      </c>
      <c r="C623" s="46" cm="1">
        <f t="array" aca="1" ref="C623" ca="1">_xll.VoseSimValue(MortgageOut,537)</f>
        <v>0.11498891475832618</v>
      </c>
    </row>
    <row r="624" spans="2:3" hidden="1" outlineLevel="1" x14ac:dyDescent="0.45">
      <c r="B624" s="46" cm="1">
        <f t="array" aca="1" ref="B624" ca="1">_xll.VoseSimValue(InterestOut,538)</f>
        <v>4.4242103241991258E-2</v>
      </c>
      <c r="C624" s="46" cm="1">
        <f t="array" aca="1" ref="C624" ca="1">_xll.VoseSimValue(MortgageOut,538)</f>
        <v>8.1708756736183122E-2</v>
      </c>
    </row>
    <row r="625" spans="2:3" hidden="1" outlineLevel="1" x14ac:dyDescent="0.45">
      <c r="B625" s="46" cm="1">
        <f t="array" aca="1" ref="B625" ca="1">_xll.VoseSimValue(InterestOut,539)</f>
        <v>4.8931857579901261E-2</v>
      </c>
      <c r="C625" s="46" cm="1">
        <f t="array" aca="1" ref="C625" ca="1">_xll.VoseSimValue(MortgageOut,539)</f>
        <v>9.3628633351157814E-2</v>
      </c>
    </row>
    <row r="626" spans="2:3" hidden="1" outlineLevel="1" x14ac:dyDescent="0.45">
      <c r="B626" s="46" cm="1">
        <f t="array" aca="1" ref="B626" ca="1">_xll.VoseSimValue(InterestOut,540)</f>
        <v>3.5038644290697432E-2</v>
      </c>
      <c r="C626" s="46" cm="1">
        <f t="array" aca="1" ref="C626" ca="1">_xll.VoseSimValue(MortgageOut,540)</f>
        <v>9.4000439964632351E-2</v>
      </c>
    </row>
    <row r="627" spans="2:3" hidden="1" outlineLevel="1" x14ac:dyDescent="0.45">
      <c r="B627" s="46" cm="1">
        <f t="array" aca="1" ref="B627" ca="1">_xll.VoseSimValue(InterestOut,541)</f>
        <v>4.8686047877167515E-2</v>
      </c>
      <c r="C627" s="46" cm="1">
        <f t="array" aca="1" ref="C627" ca="1">_xll.VoseSimValue(MortgageOut,541)</f>
        <v>9.4410717082963946E-2</v>
      </c>
    </row>
    <row r="628" spans="2:3" hidden="1" outlineLevel="1" x14ac:dyDescent="0.45">
      <c r="B628" s="46" cm="1">
        <f t="array" aca="1" ref="B628" ca="1">_xll.VoseSimValue(InterestOut,542)</f>
        <v>5.2111698771570354E-2</v>
      </c>
      <c r="C628" s="46" cm="1">
        <f t="array" aca="1" ref="C628" ca="1">_xll.VoseSimValue(MortgageOut,542)</f>
        <v>0.1149337098739593</v>
      </c>
    </row>
    <row r="629" spans="2:3" hidden="1" outlineLevel="1" x14ac:dyDescent="0.45">
      <c r="B629" s="46" cm="1">
        <f t="array" aca="1" ref="B629" ca="1">_xll.VoseSimValue(InterestOut,543)</f>
        <v>4.6432387512518492E-2</v>
      </c>
      <c r="C629" s="46" cm="1">
        <f t="array" aca="1" ref="C629" ca="1">_xll.VoseSimValue(MortgageOut,543)</f>
        <v>0.11164620251564535</v>
      </c>
    </row>
    <row r="630" spans="2:3" hidden="1" outlineLevel="1" x14ac:dyDescent="0.45">
      <c r="B630" s="46" cm="1">
        <f t="array" aca="1" ref="B630" ca="1">_xll.VoseSimValue(InterestOut,544)</f>
        <v>4.0630810249941807E-2</v>
      </c>
      <c r="C630" s="46" cm="1">
        <f t="array" aca="1" ref="C630" ca="1">_xll.VoseSimValue(MortgageOut,544)</f>
        <v>7.5860073106398723E-2</v>
      </c>
    </row>
    <row r="631" spans="2:3" hidden="1" outlineLevel="1" x14ac:dyDescent="0.45">
      <c r="B631" s="46" cm="1">
        <f t="array" aca="1" ref="B631" ca="1">_xll.VoseSimValue(InterestOut,545)</f>
        <v>5.4568387455185038E-2</v>
      </c>
      <c r="C631" s="46" cm="1">
        <f t="array" aca="1" ref="C631" ca="1">_xll.VoseSimValue(MortgageOut,545)</f>
        <v>0.10326822121711474</v>
      </c>
    </row>
    <row r="632" spans="2:3" hidden="1" outlineLevel="1" x14ac:dyDescent="0.45">
      <c r="B632" s="46" cm="1">
        <f t="array" aca="1" ref="B632" ca="1">_xll.VoseSimValue(InterestOut,546)</f>
        <v>5.2908991573520026E-2</v>
      </c>
      <c r="C632" s="46" cm="1">
        <f t="array" aca="1" ref="C632" ca="1">_xll.VoseSimValue(MortgageOut,546)</f>
        <v>9.6397013635335926E-2</v>
      </c>
    </row>
    <row r="633" spans="2:3" hidden="1" outlineLevel="1" x14ac:dyDescent="0.45">
      <c r="B633" s="46" cm="1">
        <f t="array" aca="1" ref="B633" ca="1">_xll.VoseSimValue(InterestOut,547)</f>
        <v>4.9442535354265377E-2</v>
      </c>
      <c r="C633" s="46" cm="1">
        <f t="array" aca="1" ref="C633" ca="1">_xll.VoseSimValue(MortgageOut,547)</f>
        <v>8.6883029944435794E-2</v>
      </c>
    </row>
    <row r="634" spans="2:3" hidden="1" outlineLevel="1" x14ac:dyDescent="0.45">
      <c r="B634" s="46" cm="1">
        <f t="array" aca="1" ref="B634" ca="1">_xll.VoseSimValue(InterestOut,548)</f>
        <v>4.1966640444455902E-2</v>
      </c>
      <c r="C634" s="46" cm="1">
        <f t="array" aca="1" ref="C634" ca="1">_xll.VoseSimValue(MortgageOut,548)</f>
        <v>9.8496706536367204E-2</v>
      </c>
    </row>
    <row r="635" spans="2:3" hidden="1" outlineLevel="1" x14ac:dyDescent="0.45">
      <c r="B635" s="46" cm="1">
        <f t="array" aca="1" ref="B635" ca="1">_xll.VoseSimValue(InterestOut,549)</f>
        <v>7.0052017715312054E-2</v>
      </c>
      <c r="C635" s="46" cm="1">
        <f t="array" aca="1" ref="C635" ca="1">_xll.VoseSimValue(MortgageOut,549)</f>
        <v>0.12985418672708193</v>
      </c>
    </row>
    <row r="636" spans="2:3" hidden="1" outlineLevel="1" x14ac:dyDescent="0.45">
      <c r="B636" s="46" cm="1">
        <f t="array" aca="1" ref="B636" ca="1">_xll.VoseSimValue(InterestOut,550)</f>
        <v>4.9201705577363544E-2</v>
      </c>
      <c r="C636" s="46" cm="1">
        <f t="array" aca="1" ref="C636" ca="1">_xll.VoseSimValue(MortgageOut,550)</f>
        <v>0.11519338808296523</v>
      </c>
    </row>
    <row r="637" spans="2:3" hidden="1" outlineLevel="1" x14ac:dyDescent="0.45">
      <c r="B637" s="46" cm="1">
        <f t="array" aca="1" ref="B637" ca="1">_xll.VoseSimValue(InterestOut,551)</f>
        <v>5.6176842757672776E-2</v>
      </c>
      <c r="C637" s="46" cm="1">
        <f t="array" aca="1" ref="C637" ca="1">_xll.VoseSimValue(MortgageOut,551)</f>
        <v>0.10693205355603025</v>
      </c>
    </row>
    <row r="638" spans="2:3" hidden="1" outlineLevel="1" x14ac:dyDescent="0.45">
      <c r="B638" s="46" cm="1">
        <f t="array" aca="1" ref="B638" ca="1">_xll.VoseSimValue(InterestOut,552)</f>
        <v>5.6381784337330432E-2</v>
      </c>
      <c r="C638" s="46" cm="1">
        <f t="array" aca="1" ref="C638" ca="1">_xll.VoseSimValue(MortgageOut,552)</f>
        <v>0.11598033304727923</v>
      </c>
    </row>
    <row r="639" spans="2:3" hidden="1" outlineLevel="1" x14ac:dyDescent="0.45">
      <c r="B639" s="46" cm="1">
        <f t="array" aca="1" ref="B639" ca="1">_xll.VoseSimValue(InterestOut,553)</f>
        <v>4.2969579802874212E-2</v>
      </c>
      <c r="C639" s="46" cm="1">
        <f t="array" aca="1" ref="C639" ca="1">_xll.VoseSimValue(MortgageOut,553)</f>
        <v>0.10139693467524356</v>
      </c>
    </row>
    <row r="640" spans="2:3" hidden="1" outlineLevel="1" x14ac:dyDescent="0.45">
      <c r="B640" s="46" cm="1">
        <f t="array" aca="1" ref="B640" ca="1">_xll.VoseSimValue(InterestOut,554)</f>
        <v>4.5219145597877326E-2</v>
      </c>
      <c r="C640" s="46" cm="1">
        <f t="array" aca="1" ref="C640" ca="1">_xll.VoseSimValue(MortgageOut,554)</f>
        <v>0.10573034976337164</v>
      </c>
    </row>
    <row r="641" spans="2:3" hidden="1" outlineLevel="1" x14ac:dyDescent="0.45">
      <c r="B641" s="46" cm="1">
        <f t="array" aca="1" ref="B641" ca="1">_xll.VoseSimValue(InterestOut,555)</f>
        <v>4.9349457163587726E-2</v>
      </c>
      <c r="C641" s="46" cm="1">
        <f t="array" aca="1" ref="C641" ca="1">_xll.VoseSimValue(MortgageOut,555)</f>
        <v>0.10155134204819181</v>
      </c>
    </row>
    <row r="642" spans="2:3" hidden="1" outlineLevel="1" x14ac:dyDescent="0.45">
      <c r="B642" s="46" cm="1">
        <f t="array" aca="1" ref="B642" ca="1">_xll.VoseSimValue(InterestOut,556)</f>
        <v>3.3572603234444519E-2</v>
      </c>
      <c r="C642" s="46" cm="1">
        <f t="array" aca="1" ref="C642" ca="1">_xll.VoseSimValue(MortgageOut,556)</f>
        <v>7.3085920365660376E-2</v>
      </c>
    </row>
    <row r="643" spans="2:3" hidden="1" outlineLevel="1" x14ac:dyDescent="0.45">
      <c r="B643" s="46" cm="1">
        <f t="array" aca="1" ref="B643" ca="1">_xll.VoseSimValue(InterestOut,557)</f>
        <v>4.7138076095587414E-2</v>
      </c>
      <c r="C643" s="46" cm="1">
        <f t="array" aca="1" ref="C643" ca="1">_xll.VoseSimValue(MortgageOut,557)</f>
        <v>9.9780562723008004E-2</v>
      </c>
    </row>
    <row r="644" spans="2:3" hidden="1" outlineLevel="1" x14ac:dyDescent="0.45">
      <c r="B644" s="46" cm="1">
        <f t="array" aca="1" ref="B644" ca="1">_xll.VoseSimValue(InterestOut,558)</f>
        <v>4.3630709077982451E-2</v>
      </c>
      <c r="C644" s="46" cm="1">
        <f t="array" aca="1" ref="C644" ca="1">_xll.VoseSimValue(MortgageOut,558)</f>
        <v>9.4122605344476945E-2</v>
      </c>
    </row>
    <row r="645" spans="2:3" hidden="1" outlineLevel="1" x14ac:dyDescent="0.45">
      <c r="B645" s="46" cm="1">
        <f t="array" aca="1" ref="B645" ca="1">_xll.VoseSimValue(InterestOut,559)</f>
        <v>6.0072822962189673E-2</v>
      </c>
      <c r="C645" s="46" cm="1">
        <f t="array" aca="1" ref="C645" ca="1">_xll.VoseSimValue(MortgageOut,559)</f>
        <v>0.11094140370124948</v>
      </c>
    </row>
    <row r="646" spans="2:3" hidden="1" outlineLevel="1" x14ac:dyDescent="0.45">
      <c r="B646" s="46" cm="1">
        <f t="array" aca="1" ref="B646" ca="1">_xll.VoseSimValue(InterestOut,560)</f>
        <v>3.5761238207709767E-2</v>
      </c>
      <c r="C646" s="46" cm="1">
        <f t="array" aca="1" ref="C646" ca="1">_xll.VoseSimValue(MortgageOut,560)</f>
        <v>9.854889679081591E-2</v>
      </c>
    </row>
    <row r="647" spans="2:3" hidden="1" outlineLevel="1" x14ac:dyDescent="0.45">
      <c r="B647" s="46" cm="1">
        <f t="array" aca="1" ref="B647" ca="1">_xll.VoseSimValue(InterestOut,561)</f>
        <v>6.3481582416329396E-2</v>
      </c>
      <c r="C647" s="46" cm="1">
        <f t="array" aca="1" ref="C647" ca="1">_xll.VoseSimValue(MortgageOut,561)</f>
        <v>0.11025855952084801</v>
      </c>
    </row>
    <row r="648" spans="2:3" hidden="1" outlineLevel="1" x14ac:dyDescent="0.45">
      <c r="B648" s="46" cm="1">
        <f t="array" aca="1" ref="B648" ca="1">_xll.VoseSimValue(InterestOut,562)</f>
        <v>6.6594894214480532E-2</v>
      </c>
      <c r="C648" s="46" cm="1">
        <f t="array" aca="1" ref="C648" ca="1">_xll.VoseSimValue(MortgageOut,562)</f>
        <v>0.12818092252047092</v>
      </c>
    </row>
    <row r="649" spans="2:3" hidden="1" outlineLevel="1" x14ac:dyDescent="0.45">
      <c r="B649" s="46" cm="1">
        <f t="array" aca="1" ref="B649" ca="1">_xll.VoseSimValue(InterestOut,563)</f>
        <v>6.4702054401710896E-2</v>
      </c>
      <c r="C649" s="46" cm="1">
        <f t="array" aca="1" ref="C649" ca="1">_xll.VoseSimValue(MortgageOut,563)</f>
        <v>0.13199796528128965</v>
      </c>
    </row>
    <row r="650" spans="2:3" hidden="1" outlineLevel="1" x14ac:dyDescent="0.45">
      <c r="B650" s="46" cm="1">
        <f t="array" aca="1" ref="B650" ca="1">_xll.VoseSimValue(InterestOut,564)</f>
        <v>5.951665657578202E-2</v>
      </c>
      <c r="C650" s="46" cm="1">
        <f t="array" aca="1" ref="C650" ca="1">_xll.VoseSimValue(MortgageOut,564)</f>
        <v>0.10347751408551027</v>
      </c>
    </row>
    <row r="651" spans="2:3" hidden="1" outlineLevel="1" x14ac:dyDescent="0.45">
      <c r="B651" s="46" cm="1">
        <f t="array" aca="1" ref="B651" ca="1">_xll.VoseSimValue(InterestOut,565)</f>
        <v>5.5733719415292052E-2</v>
      </c>
      <c r="C651" s="46" cm="1">
        <f t="array" aca="1" ref="C651" ca="1">_xll.VoseSimValue(MortgageOut,565)</f>
        <v>0.11382395886018074</v>
      </c>
    </row>
    <row r="652" spans="2:3" hidden="1" outlineLevel="1" x14ac:dyDescent="0.45">
      <c r="B652" s="46" cm="1">
        <f t="array" aca="1" ref="B652" ca="1">_xll.VoseSimValue(InterestOut,566)</f>
        <v>5.1738234755737827E-2</v>
      </c>
      <c r="C652" s="46" cm="1">
        <f t="array" aca="1" ref="C652" ca="1">_xll.VoseSimValue(MortgageOut,566)</f>
        <v>9.6830740495932183E-2</v>
      </c>
    </row>
    <row r="653" spans="2:3" hidden="1" outlineLevel="1" x14ac:dyDescent="0.45">
      <c r="B653" s="46" cm="1">
        <f t="array" aca="1" ref="B653" ca="1">_xll.VoseSimValue(InterestOut,567)</f>
        <v>4.5113866219036174E-2</v>
      </c>
      <c r="C653" s="46" cm="1">
        <f t="array" aca="1" ref="C653" ca="1">_xll.VoseSimValue(MortgageOut,567)</f>
        <v>0.10559836822367837</v>
      </c>
    </row>
    <row r="654" spans="2:3" hidden="1" outlineLevel="1" x14ac:dyDescent="0.45">
      <c r="B654" s="46" cm="1">
        <f t="array" aca="1" ref="B654" ca="1">_xll.VoseSimValue(InterestOut,568)</f>
        <v>3.4376863772728014E-2</v>
      </c>
      <c r="C654" s="46" cm="1">
        <f t="array" aca="1" ref="C654" ca="1">_xll.VoseSimValue(MortgageOut,568)</f>
        <v>9.5931503861214074E-2</v>
      </c>
    </row>
    <row r="655" spans="2:3" hidden="1" outlineLevel="1" x14ac:dyDescent="0.45">
      <c r="B655" s="46" cm="1">
        <f t="array" aca="1" ref="B655" ca="1">_xll.VoseSimValue(InterestOut,569)</f>
        <v>4.4599042343062806E-2</v>
      </c>
      <c r="C655" s="46" cm="1">
        <f t="array" aca="1" ref="C655" ca="1">_xll.VoseSimValue(MortgageOut,569)</f>
        <v>0.10901430144736352</v>
      </c>
    </row>
    <row r="656" spans="2:3" hidden="1" outlineLevel="1" x14ac:dyDescent="0.45">
      <c r="B656" s="46" cm="1">
        <f t="array" aca="1" ref="B656" ca="1">_xll.VoseSimValue(InterestOut,570)</f>
        <v>4.5919385973904013E-2</v>
      </c>
      <c r="C656" s="46" cm="1">
        <f t="array" aca="1" ref="C656" ca="1">_xll.VoseSimValue(MortgageOut,570)</f>
        <v>0.10510694566321645</v>
      </c>
    </row>
    <row r="657" spans="2:3" hidden="1" outlineLevel="1" x14ac:dyDescent="0.45">
      <c r="B657" s="46" cm="1">
        <f t="array" aca="1" ref="B657" ca="1">_xll.VoseSimValue(InterestOut,571)</f>
        <v>6.2336971041674238E-2</v>
      </c>
      <c r="C657" s="46" cm="1">
        <f t="array" aca="1" ref="C657" ca="1">_xll.VoseSimValue(MortgageOut,571)</f>
        <v>0.10778260926150712</v>
      </c>
    </row>
    <row r="658" spans="2:3" hidden="1" outlineLevel="1" x14ac:dyDescent="0.45">
      <c r="B658" s="46" cm="1">
        <f t="array" aca="1" ref="B658" ca="1">_xll.VoseSimValue(InterestOut,572)</f>
        <v>5.2352875670657002E-2</v>
      </c>
      <c r="C658" s="46" cm="1">
        <f t="array" aca="1" ref="C658" ca="1">_xll.VoseSimValue(MortgageOut,572)</f>
        <v>0.10310411260472913</v>
      </c>
    </row>
    <row r="659" spans="2:3" hidden="1" outlineLevel="1" x14ac:dyDescent="0.45">
      <c r="B659" s="46" cm="1">
        <f t="array" aca="1" ref="B659" ca="1">_xll.VoseSimValue(InterestOut,573)</f>
        <v>5.2006612858917833E-2</v>
      </c>
      <c r="C659" s="46" cm="1">
        <f t="array" aca="1" ref="C659" ca="1">_xll.VoseSimValue(MortgageOut,573)</f>
        <v>0.11910443951873775</v>
      </c>
    </row>
    <row r="660" spans="2:3" hidden="1" outlineLevel="1" x14ac:dyDescent="0.45">
      <c r="B660" s="46" cm="1">
        <f t="array" aca="1" ref="B660" ca="1">_xll.VoseSimValue(InterestOut,574)</f>
        <v>6.2555065205010835E-2</v>
      </c>
      <c r="C660" s="46" cm="1">
        <f t="array" aca="1" ref="C660" ca="1">_xll.VoseSimValue(MortgageOut,574)</f>
        <v>0.13506584018343096</v>
      </c>
    </row>
    <row r="661" spans="2:3" hidden="1" outlineLevel="1" x14ac:dyDescent="0.45">
      <c r="B661" s="46" cm="1">
        <f t="array" aca="1" ref="B661" ca="1">_xll.VoseSimValue(InterestOut,575)</f>
        <v>6.0238523480955972E-2</v>
      </c>
      <c r="C661" s="46" cm="1">
        <f t="array" aca="1" ref="C661" ca="1">_xll.VoseSimValue(MortgageOut,575)</f>
        <v>0.12548710163733751</v>
      </c>
    </row>
    <row r="662" spans="2:3" hidden="1" outlineLevel="1" x14ac:dyDescent="0.45">
      <c r="B662" s="46" cm="1">
        <f t="array" aca="1" ref="B662" ca="1">_xll.VoseSimValue(InterestOut,576)</f>
        <v>4.2538472158876628E-2</v>
      </c>
      <c r="C662" s="46" cm="1">
        <f t="array" aca="1" ref="C662" ca="1">_xll.VoseSimValue(MortgageOut,576)</f>
        <v>0.11117728914418371</v>
      </c>
    </row>
    <row r="663" spans="2:3" hidden="1" outlineLevel="1" x14ac:dyDescent="0.45">
      <c r="B663" s="46" cm="1">
        <f t="array" aca="1" ref="B663" ca="1">_xll.VoseSimValue(InterestOut,577)</f>
        <v>5.3207052189895118E-2</v>
      </c>
      <c r="C663" s="46" cm="1">
        <f t="array" aca="1" ref="C663" ca="1">_xll.VoseSimValue(MortgageOut,577)</f>
        <v>0.1064585111046099</v>
      </c>
    </row>
    <row r="664" spans="2:3" hidden="1" outlineLevel="1" x14ac:dyDescent="0.45">
      <c r="B664" s="46" cm="1">
        <f t="array" aca="1" ref="B664" ca="1">_xll.VoseSimValue(InterestOut,578)</f>
        <v>3.8705467890919838E-2</v>
      </c>
      <c r="C664" s="46" cm="1">
        <f t="array" aca="1" ref="C664" ca="1">_xll.VoseSimValue(MortgageOut,578)</f>
        <v>7.6598346751444724E-2</v>
      </c>
    </row>
    <row r="665" spans="2:3" hidden="1" outlineLevel="1" x14ac:dyDescent="0.45">
      <c r="B665" s="46" cm="1">
        <f t="array" aca="1" ref="B665" ca="1">_xll.VoseSimValue(InterestOut,579)</f>
        <v>5.7878184253604414E-2</v>
      </c>
      <c r="C665" s="46" cm="1">
        <f t="array" aca="1" ref="C665" ca="1">_xll.VoseSimValue(MortgageOut,579)</f>
        <v>0.11310179081526593</v>
      </c>
    </row>
    <row r="666" spans="2:3" hidden="1" outlineLevel="1" x14ac:dyDescent="0.45">
      <c r="B666" s="46" cm="1">
        <f t="array" aca="1" ref="B666" ca="1">_xll.VoseSimValue(InterestOut,580)</f>
        <v>3.6611612793897026E-2</v>
      </c>
      <c r="C666" s="46" cm="1">
        <f t="array" aca="1" ref="C666" ca="1">_xll.VoseSimValue(MortgageOut,580)</f>
        <v>8.880033850181028E-2</v>
      </c>
    </row>
    <row r="667" spans="2:3" hidden="1" outlineLevel="1" x14ac:dyDescent="0.45">
      <c r="B667" s="46" cm="1">
        <f t="array" aca="1" ref="B667" ca="1">_xll.VoseSimValue(InterestOut,581)</f>
        <v>5.1775775686468503E-2</v>
      </c>
      <c r="C667" s="46" cm="1">
        <f t="array" aca="1" ref="C667" ca="1">_xll.VoseSimValue(MortgageOut,581)</f>
        <v>9.2306424283653141E-2</v>
      </c>
    </row>
    <row r="668" spans="2:3" hidden="1" outlineLevel="1" x14ac:dyDescent="0.45">
      <c r="B668" s="46" cm="1">
        <f t="array" aca="1" ref="B668" ca="1">_xll.VoseSimValue(InterestOut,582)</f>
        <v>4.9798208544574493E-2</v>
      </c>
      <c r="C668" s="46" cm="1">
        <f t="array" aca="1" ref="C668" ca="1">_xll.VoseSimValue(MortgageOut,582)</f>
        <v>0.11384196925765289</v>
      </c>
    </row>
    <row r="669" spans="2:3" hidden="1" outlineLevel="1" x14ac:dyDescent="0.45">
      <c r="B669" s="46" cm="1">
        <f t="array" aca="1" ref="B669" ca="1">_xll.VoseSimValue(InterestOut,583)</f>
        <v>5.9127524228689818E-2</v>
      </c>
      <c r="C669" s="46" cm="1">
        <f t="array" aca="1" ref="C669" ca="1">_xll.VoseSimValue(MortgageOut,583)</f>
        <v>0.12043879910714064</v>
      </c>
    </row>
    <row r="670" spans="2:3" hidden="1" outlineLevel="1" x14ac:dyDescent="0.45">
      <c r="B670" s="46" cm="1">
        <f t="array" aca="1" ref="B670" ca="1">_xll.VoseSimValue(InterestOut,584)</f>
        <v>3.4674239076008868E-2</v>
      </c>
      <c r="C670" s="46" cm="1">
        <f t="array" aca="1" ref="C670" ca="1">_xll.VoseSimValue(MortgageOut,584)</f>
        <v>8.7721413973970458E-2</v>
      </c>
    </row>
    <row r="671" spans="2:3" hidden="1" outlineLevel="1" x14ac:dyDescent="0.45">
      <c r="B671" s="46" cm="1">
        <f t="array" aca="1" ref="B671" ca="1">_xll.VoseSimValue(InterestOut,585)</f>
        <v>5.310874732751554E-2</v>
      </c>
      <c r="C671" s="46" cm="1">
        <f t="array" aca="1" ref="C671" ca="1">_xll.VoseSimValue(MortgageOut,585)</f>
        <v>9.6068534773642411E-2</v>
      </c>
    </row>
    <row r="672" spans="2:3" hidden="1" outlineLevel="1" x14ac:dyDescent="0.45">
      <c r="B672" s="46" cm="1">
        <f t="array" aca="1" ref="B672" ca="1">_xll.VoseSimValue(InterestOut,586)</f>
        <v>3.7903607757770047E-2</v>
      </c>
      <c r="C672" s="46" cm="1">
        <f t="array" aca="1" ref="C672" ca="1">_xll.VoseSimValue(MortgageOut,586)</f>
        <v>0.10060172556193481</v>
      </c>
    </row>
    <row r="673" spans="2:3" hidden="1" outlineLevel="1" x14ac:dyDescent="0.45">
      <c r="B673" s="46" cm="1">
        <f t="array" aca="1" ref="B673" ca="1">_xll.VoseSimValue(InterestOut,587)</f>
        <v>5.0372425027455051E-2</v>
      </c>
      <c r="C673" s="46" cm="1">
        <f t="array" aca="1" ref="C673" ca="1">_xll.VoseSimValue(MortgageOut,587)</f>
        <v>0.10419655563189877</v>
      </c>
    </row>
    <row r="674" spans="2:3" hidden="1" outlineLevel="1" x14ac:dyDescent="0.45">
      <c r="B674" s="46" cm="1">
        <f t="array" aca="1" ref="B674" ca="1">_xll.VoseSimValue(InterestOut,588)</f>
        <v>6.0597082691166426E-2</v>
      </c>
      <c r="C674" s="46" cm="1">
        <f t="array" aca="1" ref="C674" ca="1">_xll.VoseSimValue(MortgageOut,588)</f>
        <v>0.1153126770743504</v>
      </c>
    </row>
    <row r="675" spans="2:3" hidden="1" outlineLevel="1" x14ac:dyDescent="0.45">
      <c r="B675" s="46" cm="1">
        <f t="array" aca="1" ref="B675" ca="1">_xll.VoseSimValue(InterestOut,589)</f>
        <v>4.7120344689050325E-2</v>
      </c>
      <c r="C675" s="46" cm="1">
        <f t="array" aca="1" ref="C675" ca="1">_xll.VoseSimValue(MortgageOut,589)</f>
        <v>8.8307581575969629E-2</v>
      </c>
    </row>
    <row r="676" spans="2:3" hidden="1" outlineLevel="1" x14ac:dyDescent="0.45">
      <c r="B676" s="46" cm="1">
        <f t="array" aca="1" ref="B676" ca="1">_xll.VoseSimValue(InterestOut,590)</f>
        <v>5.4973826041453691E-2</v>
      </c>
      <c r="C676" s="46" cm="1">
        <f t="array" aca="1" ref="C676" ca="1">_xll.VoseSimValue(MortgageOut,590)</f>
        <v>0.11888824072155384</v>
      </c>
    </row>
    <row r="677" spans="2:3" hidden="1" outlineLevel="1" x14ac:dyDescent="0.45">
      <c r="B677" s="46" cm="1">
        <f t="array" aca="1" ref="B677" ca="1">_xll.VoseSimValue(InterestOut,591)</f>
        <v>3.7963803255268165E-2</v>
      </c>
      <c r="C677" s="46" cm="1">
        <f t="array" aca="1" ref="C677" ca="1">_xll.VoseSimValue(MortgageOut,591)</f>
        <v>7.6766219914390907E-2</v>
      </c>
    </row>
    <row r="678" spans="2:3" hidden="1" outlineLevel="1" x14ac:dyDescent="0.45">
      <c r="B678" s="46" cm="1">
        <f t="array" aca="1" ref="B678" ca="1">_xll.VoseSimValue(InterestOut,592)</f>
        <v>5.9195132669274904E-2</v>
      </c>
      <c r="C678" s="46" cm="1">
        <f t="array" aca="1" ref="C678" ca="1">_xll.VoseSimValue(MortgageOut,592)</f>
        <v>0.11638773255814069</v>
      </c>
    </row>
    <row r="679" spans="2:3" hidden="1" outlineLevel="1" x14ac:dyDescent="0.45">
      <c r="B679" s="46" cm="1">
        <f t="array" aca="1" ref="B679" ca="1">_xll.VoseSimValue(InterestOut,593)</f>
        <v>4.8062904100949704E-2</v>
      </c>
      <c r="C679" s="46" cm="1">
        <f t="array" aca="1" ref="C679" ca="1">_xll.VoseSimValue(MortgageOut,593)</f>
        <v>0.10371470145801831</v>
      </c>
    </row>
    <row r="680" spans="2:3" hidden="1" outlineLevel="1" x14ac:dyDescent="0.45">
      <c r="B680" s="46" cm="1">
        <f t="array" aca="1" ref="B680" ca="1">_xll.VoseSimValue(InterestOut,594)</f>
        <v>5.7017613136643525E-2</v>
      </c>
      <c r="C680" s="46" cm="1">
        <f t="array" aca="1" ref="C680" ca="1">_xll.VoseSimValue(MortgageOut,594)</f>
        <v>0.11920082749898861</v>
      </c>
    </row>
    <row r="681" spans="2:3" hidden="1" outlineLevel="1" x14ac:dyDescent="0.45">
      <c r="B681" s="46" cm="1">
        <f t="array" aca="1" ref="B681" ca="1">_xll.VoseSimValue(InterestOut,595)</f>
        <v>3.8522733389168111E-2</v>
      </c>
      <c r="C681" s="46" cm="1">
        <f t="array" aca="1" ref="C681" ca="1">_xll.VoseSimValue(MortgageOut,595)</f>
        <v>8.9865430327790846E-2</v>
      </c>
    </row>
    <row r="682" spans="2:3" hidden="1" outlineLevel="1" x14ac:dyDescent="0.45">
      <c r="B682" s="46" cm="1">
        <f t="array" aca="1" ref="B682" ca="1">_xll.VoseSimValue(InterestOut,596)</f>
        <v>4.4182599474629165E-2</v>
      </c>
      <c r="C682" s="46" cm="1">
        <f t="array" aca="1" ref="C682" ca="1">_xll.VoseSimValue(MortgageOut,596)</f>
        <v>8.0985600174170322E-2</v>
      </c>
    </row>
    <row r="683" spans="2:3" hidden="1" outlineLevel="1" x14ac:dyDescent="0.45">
      <c r="B683" s="46" cm="1">
        <f t="array" aca="1" ref="B683" ca="1">_xll.VoseSimValue(InterestOut,597)</f>
        <v>7.1305057147567408E-2</v>
      </c>
      <c r="C683" s="46" cm="1">
        <f t="array" aca="1" ref="C683" ca="1">_xll.VoseSimValue(MortgageOut,597)</f>
        <v>0.12972227504792866</v>
      </c>
    </row>
    <row r="684" spans="2:3" hidden="1" outlineLevel="1" x14ac:dyDescent="0.45">
      <c r="B684" s="46" cm="1">
        <f t="array" aca="1" ref="B684" ca="1">_xll.VoseSimValue(InterestOut,598)</f>
        <v>3.6620860082111413E-2</v>
      </c>
      <c r="C684" s="46" cm="1">
        <f t="array" aca="1" ref="C684" ca="1">_xll.VoseSimValue(MortgageOut,598)</f>
        <v>8.2280659706840273E-2</v>
      </c>
    </row>
    <row r="685" spans="2:3" hidden="1" outlineLevel="1" x14ac:dyDescent="0.45">
      <c r="B685" s="46" cm="1">
        <f t="array" aca="1" ref="B685" ca="1">_xll.VoseSimValue(InterestOut,599)</f>
        <v>4.2424363530593243E-2</v>
      </c>
      <c r="C685" s="46" cm="1">
        <f t="array" aca="1" ref="C685" ca="1">_xll.VoseSimValue(MortgageOut,599)</f>
        <v>0.10243511363681106</v>
      </c>
    </row>
    <row r="686" spans="2:3" hidden="1" outlineLevel="1" x14ac:dyDescent="0.45">
      <c r="B686" s="46" cm="1">
        <f t="array" aca="1" ref="B686" ca="1">_xll.VoseSimValue(InterestOut,600)</f>
        <v>4.5426612189763335E-2</v>
      </c>
      <c r="C686" s="46" cm="1">
        <f t="array" aca="1" ref="C686" ca="1">_xll.VoseSimValue(MortgageOut,600)</f>
        <v>0.1012809538940988</v>
      </c>
    </row>
    <row r="687" spans="2:3" hidden="1" outlineLevel="1" x14ac:dyDescent="0.45">
      <c r="B687" s="46" cm="1">
        <f t="array" aca="1" ref="B687" ca="1">_xll.VoseSimValue(InterestOut,601)</f>
        <v>6.060037711334449E-2</v>
      </c>
      <c r="C687" s="46" cm="1">
        <f t="array" aca="1" ref="C687" ca="1">_xll.VoseSimValue(MortgageOut,601)</f>
        <v>0.13392061859302562</v>
      </c>
    </row>
    <row r="688" spans="2:3" hidden="1" outlineLevel="1" x14ac:dyDescent="0.45">
      <c r="B688" s="46" cm="1">
        <f t="array" aca="1" ref="B688" ca="1">_xll.VoseSimValue(InterestOut,602)</f>
        <v>6.2787385139268653E-2</v>
      </c>
      <c r="C688" s="46" cm="1">
        <f t="array" aca="1" ref="C688" ca="1">_xll.VoseSimValue(MortgageOut,602)</f>
        <v>0.11896593673037704</v>
      </c>
    </row>
    <row r="689" spans="2:3" hidden="1" outlineLevel="1" x14ac:dyDescent="0.45">
      <c r="B689" s="46" cm="1">
        <f t="array" aca="1" ref="B689" ca="1">_xll.VoseSimValue(InterestOut,603)</f>
        <v>6.3241937527746206E-2</v>
      </c>
      <c r="C689" s="46" cm="1">
        <f t="array" aca="1" ref="C689" ca="1">_xll.VoseSimValue(MortgageOut,603)</f>
        <v>0.10127290362678083</v>
      </c>
    </row>
    <row r="690" spans="2:3" hidden="1" outlineLevel="1" x14ac:dyDescent="0.45">
      <c r="B690" s="46" cm="1">
        <f t="array" aca="1" ref="B690" ca="1">_xll.VoseSimValue(InterestOut,604)</f>
        <v>3.820963721802486E-2</v>
      </c>
      <c r="C690" s="46" cm="1">
        <f t="array" aca="1" ref="C690" ca="1">_xll.VoseSimValue(MortgageOut,604)</f>
        <v>0.10645526019623217</v>
      </c>
    </row>
    <row r="691" spans="2:3" hidden="1" outlineLevel="1" x14ac:dyDescent="0.45">
      <c r="B691" s="46" cm="1">
        <f t="array" aca="1" ref="B691" ca="1">_xll.VoseSimValue(InterestOut,605)</f>
        <v>5.6493359421918833E-2</v>
      </c>
      <c r="C691" s="46" cm="1">
        <f t="array" aca="1" ref="C691" ca="1">_xll.VoseSimValue(MortgageOut,605)</f>
        <v>0.11350751576298777</v>
      </c>
    </row>
    <row r="692" spans="2:3" hidden="1" outlineLevel="1" x14ac:dyDescent="0.45">
      <c r="B692" s="46" cm="1">
        <f t="array" aca="1" ref="B692" ca="1">_xll.VoseSimValue(InterestOut,606)</f>
        <v>5.5664226840278302E-2</v>
      </c>
      <c r="C692" s="46" cm="1">
        <f t="array" aca="1" ref="C692" ca="1">_xll.VoseSimValue(MortgageOut,606)</f>
        <v>0.11220927850765386</v>
      </c>
    </row>
    <row r="693" spans="2:3" hidden="1" outlineLevel="1" x14ac:dyDescent="0.45">
      <c r="B693" s="46" cm="1">
        <f t="array" aca="1" ref="B693" ca="1">_xll.VoseSimValue(InterestOut,607)</f>
        <v>5.312596560396679E-2</v>
      </c>
      <c r="C693" s="46" cm="1">
        <f t="array" aca="1" ref="C693" ca="1">_xll.VoseSimValue(MortgageOut,607)</f>
        <v>0.10835760123053123</v>
      </c>
    </row>
    <row r="694" spans="2:3" hidden="1" outlineLevel="1" x14ac:dyDescent="0.45">
      <c r="B694" s="46" cm="1">
        <f t="array" aca="1" ref="B694" ca="1">_xll.VoseSimValue(InterestOut,608)</f>
        <v>4.2611823478482788E-2</v>
      </c>
      <c r="C694" s="46" cm="1">
        <f t="array" aca="1" ref="C694" ca="1">_xll.VoseSimValue(MortgageOut,608)</f>
        <v>9.6545627993252933E-2</v>
      </c>
    </row>
    <row r="695" spans="2:3" hidden="1" outlineLevel="1" x14ac:dyDescent="0.45">
      <c r="B695" s="46" cm="1">
        <f t="array" aca="1" ref="B695" ca="1">_xll.VoseSimValue(InterestOut,609)</f>
        <v>4.1733273451516006E-2</v>
      </c>
      <c r="C695" s="46" cm="1">
        <f t="array" aca="1" ref="C695" ca="1">_xll.VoseSimValue(MortgageOut,609)</f>
        <v>9.7588902588367624E-2</v>
      </c>
    </row>
    <row r="696" spans="2:3" hidden="1" outlineLevel="1" x14ac:dyDescent="0.45">
      <c r="B696" s="46" cm="1">
        <f t="array" aca="1" ref="B696" ca="1">_xll.VoseSimValue(InterestOut,610)</f>
        <v>5.1862563088385723E-2</v>
      </c>
      <c r="C696" s="46" cm="1">
        <f t="array" aca="1" ref="C696" ca="1">_xll.VoseSimValue(MortgageOut,610)</f>
        <v>0.11085950159868602</v>
      </c>
    </row>
    <row r="697" spans="2:3" hidden="1" outlineLevel="1" x14ac:dyDescent="0.45">
      <c r="B697" s="46" cm="1">
        <f t="array" aca="1" ref="B697" ca="1">_xll.VoseSimValue(InterestOut,611)</f>
        <v>5.0403115308009019E-2</v>
      </c>
      <c r="C697" s="46" cm="1">
        <f t="array" aca="1" ref="C697" ca="1">_xll.VoseSimValue(MortgageOut,611)</f>
        <v>0.10448536802334021</v>
      </c>
    </row>
    <row r="698" spans="2:3" hidden="1" outlineLevel="1" x14ac:dyDescent="0.45">
      <c r="B698" s="46" cm="1">
        <f t="array" aca="1" ref="B698" ca="1">_xll.VoseSimValue(InterestOut,612)</f>
        <v>6.4704093758127176E-2</v>
      </c>
      <c r="C698" s="46" cm="1">
        <f t="array" aca="1" ref="C698" ca="1">_xll.VoseSimValue(MortgageOut,612)</f>
        <v>0.11244745744173033</v>
      </c>
    </row>
    <row r="699" spans="2:3" hidden="1" outlineLevel="1" x14ac:dyDescent="0.45">
      <c r="B699" s="46" cm="1">
        <f t="array" aca="1" ref="B699" ca="1">_xll.VoseSimValue(InterestOut,613)</f>
        <v>4.718729365997329E-2</v>
      </c>
      <c r="C699" s="46" cm="1">
        <f t="array" aca="1" ref="C699" ca="1">_xll.VoseSimValue(MortgageOut,613)</f>
        <v>0.10134396300664378</v>
      </c>
    </row>
    <row r="700" spans="2:3" hidden="1" outlineLevel="1" x14ac:dyDescent="0.45">
      <c r="B700" s="46" cm="1">
        <f t="array" aca="1" ref="B700" ca="1">_xll.VoseSimValue(InterestOut,614)</f>
        <v>5.0620172606767336E-2</v>
      </c>
      <c r="C700" s="46" cm="1">
        <f t="array" aca="1" ref="C700" ca="1">_xll.VoseSimValue(MortgageOut,614)</f>
        <v>0.10121631236235948</v>
      </c>
    </row>
    <row r="701" spans="2:3" hidden="1" outlineLevel="1" x14ac:dyDescent="0.45">
      <c r="B701" s="46" cm="1">
        <f t="array" aca="1" ref="B701" ca="1">_xll.VoseSimValue(InterestOut,615)</f>
        <v>4.37878722308363E-2</v>
      </c>
      <c r="C701" s="46" cm="1">
        <f t="array" aca="1" ref="C701" ca="1">_xll.VoseSimValue(MortgageOut,615)</f>
        <v>0.10685686958399168</v>
      </c>
    </row>
    <row r="702" spans="2:3" hidden="1" outlineLevel="1" x14ac:dyDescent="0.45">
      <c r="B702" s="46" cm="1">
        <f t="array" aca="1" ref="B702" ca="1">_xll.VoseSimValue(InterestOut,616)</f>
        <v>6.2000580532229427E-2</v>
      </c>
      <c r="C702" s="46" cm="1">
        <f t="array" aca="1" ref="C702" ca="1">_xll.VoseSimValue(MortgageOut,616)</f>
        <v>0.11740242404270423</v>
      </c>
    </row>
    <row r="703" spans="2:3" hidden="1" outlineLevel="1" x14ac:dyDescent="0.45">
      <c r="B703" s="46" cm="1">
        <f t="array" aca="1" ref="B703" ca="1">_xll.VoseSimValue(InterestOut,617)</f>
        <v>5.375300822558754E-2</v>
      </c>
      <c r="C703" s="46" cm="1">
        <f t="array" aca="1" ref="C703" ca="1">_xll.VoseSimValue(MortgageOut,617)</f>
        <v>0.10551505647790344</v>
      </c>
    </row>
    <row r="704" spans="2:3" hidden="1" outlineLevel="1" x14ac:dyDescent="0.45">
      <c r="B704" s="46" cm="1">
        <f t="array" aca="1" ref="B704" ca="1">_xll.VoseSimValue(InterestOut,618)</f>
        <v>6.1658320584280342E-2</v>
      </c>
      <c r="C704" s="46" cm="1">
        <f t="array" aca="1" ref="C704" ca="1">_xll.VoseSimValue(MortgageOut,618)</f>
        <v>0.10445150025800946</v>
      </c>
    </row>
    <row r="705" spans="2:3" hidden="1" outlineLevel="1" x14ac:dyDescent="0.45">
      <c r="B705" s="46" cm="1">
        <f t="array" aca="1" ref="B705" ca="1">_xll.VoseSimValue(InterestOut,619)</f>
        <v>4.6291937002661536E-2</v>
      </c>
      <c r="C705" s="46" cm="1">
        <f t="array" aca="1" ref="C705" ca="1">_xll.VoseSimValue(MortgageOut,619)</f>
        <v>9.975659382184654E-2</v>
      </c>
    </row>
    <row r="706" spans="2:3" hidden="1" outlineLevel="1" x14ac:dyDescent="0.45">
      <c r="B706" s="46" cm="1">
        <f t="array" aca="1" ref="B706" ca="1">_xll.VoseSimValue(InterestOut,620)</f>
        <v>4.0966795337478226E-2</v>
      </c>
      <c r="C706" s="46" cm="1">
        <f t="array" aca="1" ref="C706" ca="1">_xll.VoseSimValue(MortgageOut,620)</f>
        <v>9.7987078794576576E-2</v>
      </c>
    </row>
    <row r="707" spans="2:3" hidden="1" outlineLevel="1" x14ac:dyDescent="0.45">
      <c r="B707" s="46" cm="1">
        <f t="array" aca="1" ref="B707" ca="1">_xll.VoseSimValue(InterestOut,621)</f>
        <v>6.5410981147850711E-2</v>
      </c>
      <c r="C707" s="46" cm="1">
        <f t="array" aca="1" ref="C707" ca="1">_xll.VoseSimValue(MortgageOut,621)</f>
        <v>0.12452062621703126</v>
      </c>
    </row>
    <row r="708" spans="2:3" hidden="1" outlineLevel="1" x14ac:dyDescent="0.45">
      <c r="B708" s="46" cm="1">
        <f t="array" aca="1" ref="B708" ca="1">_xll.VoseSimValue(InterestOut,622)</f>
        <v>5.234179981598408E-2</v>
      </c>
      <c r="C708" s="46" cm="1">
        <f t="array" aca="1" ref="C708" ca="1">_xll.VoseSimValue(MortgageOut,622)</f>
        <v>0.1039796459963663</v>
      </c>
    </row>
    <row r="709" spans="2:3" hidden="1" outlineLevel="1" x14ac:dyDescent="0.45">
      <c r="B709" s="46" cm="1">
        <f t="array" aca="1" ref="B709" ca="1">_xll.VoseSimValue(InterestOut,623)</f>
        <v>6.5024428736504908E-2</v>
      </c>
      <c r="C709" s="46" cm="1">
        <f t="array" aca="1" ref="C709" ca="1">_xll.VoseSimValue(MortgageOut,623)</f>
        <v>0.10319170019329113</v>
      </c>
    </row>
    <row r="710" spans="2:3" hidden="1" outlineLevel="1" x14ac:dyDescent="0.45">
      <c r="B710" s="46" cm="1">
        <f t="array" aca="1" ref="B710" ca="1">_xll.VoseSimValue(InterestOut,624)</f>
        <v>5.0408499933012586E-2</v>
      </c>
      <c r="C710" s="46" cm="1">
        <f t="array" aca="1" ref="C710" ca="1">_xll.VoseSimValue(MortgageOut,624)</f>
        <v>0.1009053322818286</v>
      </c>
    </row>
    <row r="711" spans="2:3" hidden="1" outlineLevel="1" x14ac:dyDescent="0.45">
      <c r="B711" s="46" cm="1">
        <f t="array" aca="1" ref="B711" ca="1">_xll.VoseSimValue(InterestOut,625)</f>
        <v>4.4737184312476218E-2</v>
      </c>
      <c r="C711" s="46" cm="1">
        <f t="array" aca="1" ref="C711" ca="1">_xll.VoseSimValue(MortgageOut,625)</f>
        <v>9.5346876168155917E-2</v>
      </c>
    </row>
    <row r="712" spans="2:3" hidden="1" outlineLevel="1" x14ac:dyDescent="0.45">
      <c r="B712" s="46" cm="1">
        <f t="array" aca="1" ref="B712" ca="1">_xll.VoseSimValue(InterestOut,626)</f>
        <v>4.3594582781121868E-2</v>
      </c>
      <c r="C712" s="46" cm="1">
        <f t="array" aca="1" ref="C712" ca="1">_xll.VoseSimValue(MortgageOut,626)</f>
        <v>0.11196569271228969</v>
      </c>
    </row>
    <row r="713" spans="2:3" hidden="1" outlineLevel="1" x14ac:dyDescent="0.45">
      <c r="B713" s="46" cm="1">
        <f t="array" aca="1" ref="B713" ca="1">_xll.VoseSimValue(InterestOut,627)</f>
        <v>3.9880587642243837E-2</v>
      </c>
      <c r="C713" s="46" cm="1">
        <f t="array" aca="1" ref="C713" ca="1">_xll.VoseSimValue(MortgageOut,627)</f>
        <v>8.0064130988481405E-2</v>
      </c>
    </row>
    <row r="714" spans="2:3" hidden="1" outlineLevel="1" x14ac:dyDescent="0.45">
      <c r="B714" s="46" cm="1">
        <f t="array" aca="1" ref="B714" ca="1">_xll.VoseSimValue(InterestOut,628)</f>
        <v>4.9720082528777861E-2</v>
      </c>
      <c r="C714" s="46" cm="1">
        <f t="array" aca="1" ref="C714" ca="1">_xll.VoseSimValue(MortgageOut,628)</f>
        <v>8.6945301502167172E-2</v>
      </c>
    </row>
    <row r="715" spans="2:3" hidden="1" outlineLevel="1" x14ac:dyDescent="0.45">
      <c r="B715" s="46" cm="1">
        <f t="array" aca="1" ref="B715" ca="1">_xll.VoseSimValue(InterestOut,629)</f>
        <v>4.2791303359461977E-2</v>
      </c>
      <c r="C715" s="46" cm="1">
        <f t="array" aca="1" ref="C715" ca="1">_xll.VoseSimValue(MortgageOut,629)</f>
        <v>8.446561612010059E-2</v>
      </c>
    </row>
    <row r="716" spans="2:3" hidden="1" outlineLevel="1" x14ac:dyDescent="0.45">
      <c r="B716" s="46" cm="1">
        <f t="array" aca="1" ref="B716" ca="1">_xll.VoseSimValue(InterestOut,630)</f>
        <v>5.0754745261346726E-2</v>
      </c>
      <c r="C716" s="46" cm="1">
        <f t="array" aca="1" ref="C716" ca="1">_xll.VoseSimValue(MortgageOut,630)</f>
        <v>0.11000768650921575</v>
      </c>
    </row>
    <row r="717" spans="2:3" hidden="1" outlineLevel="1" x14ac:dyDescent="0.45">
      <c r="B717" s="46" cm="1">
        <f t="array" aca="1" ref="B717" ca="1">_xll.VoseSimValue(InterestOut,631)</f>
        <v>5.1262581438785051E-2</v>
      </c>
      <c r="C717" s="46" cm="1">
        <f t="array" aca="1" ref="C717" ca="1">_xll.VoseSimValue(MortgageOut,631)</f>
        <v>8.1354334287542643E-2</v>
      </c>
    </row>
    <row r="718" spans="2:3" hidden="1" outlineLevel="1" x14ac:dyDescent="0.45">
      <c r="B718" s="46" cm="1">
        <f t="array" aca="1" ref="B718" ca="1">_xll.VoseSimValue(InterestOut,632)</f>
        <v>4.6865928984855747E-2</v>
      </c>
      <c r="C718" s="46" cm="1">
        <f t="array" aca="1" ref="C718" ca="1">_xll.VoseSimValue(MortgageOut,632)</f>
        <v>0.102892211456417</v>
      </c>
    </row>
    <row r="719" spans="2:3" hidden="1" outlineLevel="1" x14ac:dyDescent="0.45">
      <c r="B719" s="46" cm="1">
        <f t="array" aca="1" ref="B719" ca="1">_xll.VoseSimValue(InterestOut,633)</f>
        <v>5.773285515115742E-2</v>
      </c>
      <c r="C719" s="46" cm="1">
        <f t="array" aca="1" ref="C719" ca="1">_xll.VoseSimValue(MortgageOut,633)</f>
        <v>0.10192326007751817</v>
      </c>
    </row>
    <row r="720" spans="2:3" hidden="1" outlineLevel="1" x14ac:dyDescent="0.45">
      <c r="B720" s="46" cm="1">
        <f t="array" aca="1" ref="B720" ca="1">_xll.VoseSimValue(InterestOut,634)</f>
        <v>3.3410183999819036E-2</v>
      </c>
      <c r="C720" s="46" cm="1">
        <f t="array" aca="1" ref="C720" ca="1">_xll.VoseSimValue(MortgageOut,634)</f>
        <v>8.2020926889347825E-2</v>
      </c>
    </row>
    <row r="721" spans="2:3" hidden="1" outlineLevel="1" x14ac:dyDescent="0.45">
      <c r="B721" s="46" cm="1">
        <f t="array" aca="1" ref="B721" ca="1">_xll.VoseSimValue(InterestOut,635)</f>
        <v>4.3271347267172265E-2</v>
      </c>
      <c r="C721" s="46" cm="1">
        <f t="array" aca="1" ref="C721" ca="1">_xll.VoseSimValue(MortgageOut,635)</f>
        <v>8.7718056602555786E-2</v>
      </c>
    </row>
    <row r="722" spans="2:3" hidden="1" outlineLevel="1" x14ac:dyDescent="0.45">
      <c r="B722" s="46" cm="1">
        <f t="array" aca="1" ref="B722" ca="1">_xll.VoseSimValue(InterestOut,636)</f>
        <v>5.1417631414739595E-2</v>
      </c>
      <c r="C722" s="46" cm="1">
        <f t="array" aca="1" ref="C722" ca="1">_xll.VoseSimValue(MortgageOut,636)</f>
        <v>9.4082007791101263E-2</v>
      </c>
    </row>
    <row r="723" spans="2:3" hidden="1" outlineLevel="1" x14ac:dyDescent="0.45">
      <c r="B723" s="46" cm="1">
        <f t="array" aca="1" ref="B723" ca="1">_xll.VoseSimValue(InterestOut,637)</f>
        <v>4.4472367250095769E-2</v>
      </c>
      <c r="C723" s="46" cm="1">
        <f t="array" aca="1" ref="C723" ca="1">_xll.VoseSimValue(MortgageOut,637)</f>
        <v>9.7241118737843454E-2</v>
      </c>
    </row>
    <row r="724" spans="2:3" hidden="1" outlineLevel="1" x14ac:dyDescent="0.45">
      <c r="B724" s="46" cm="1">
        <f t="array" aca="1" ref="B724" ca="1">_xll.VoseSimValue(InterestOut,638)</f>
        <v>5.6039301840797834E-2</v>
      </c>
      <c r="C724" s="46" cm="1">
        <f t="array" aca="1" ref="C724" ca="1">_xll.VoseSimValue(MortgageOut,638)</f>
        <v>0.10530191110450265</v>
      </c>
    </row>
    <row r="725" spans="2:3" hidden="1" outlineLevel="1" x14ac:dyDescent="0.45">
      <c r="B725" s="46" cm="1">
        <f t="array" aca="1" ref="B725" ca="1">_xll.VoseSimValue(InterestOut,639)</f>
        <v>6.2198012887437974E-2</v>
      </c>
      <c r="C725" s="46" cm="1">
        <f t="array" aca="1" ref="C725" ca="1">_xll.VoseSimValue(MortgageOut,639)</f>
        <v>0.1175743301146966</v>
      </c>
    </row>
    <row r="726" spans="2:3" hidden="1" outlineLevel="1" x14ac:dyDescent="0.45">
      <c r="B726" s="46" cm="1">
        <f t="array" aca="1" ref="B726" ca="1">_xll.VoseSimValue(InterestOut,640)</f>
        <v>3.728088476193641E-2</v>
      </c>
      <c r="C726" s="46" cm="1">
        <f t="array" aca="1" ref="C726" ca="1">_xll.VoseSimValue(MortgageOut,640)</f>
        <v>8.257515692665765E-2</v>
      </c>
    </row>
    <row r="727" spans="2:3" hidden="1" outlineLevel="1" x14ac:dyDescent="0.45">
      <c r="B727" s="46" cm="1">
        <f t="array" aca="1" ref="B727" ca="1">_xll.VoseSimValue(InterestOut,641)</f>
        <v>4.9064359018226533E-2</v>
      </c>
      <c r="C727" s="46" cm="1">
        <f t="array" aca="1" ref="C727" ca="1">_xll.VoseSimValue(MortgageOut,641)</f>
        <v>0.11145857018708349</v>
      </c>
    </row>
    <row r="728" spans="2:3" hidden="1" outlineLevel="1" x14ac:dyDescent="0.45">
      <c r="B728" s="46" cm="1">
        <f t="array" aca="1" ref="B728" ca="1">_xll.VoseSimValue(InterestOut,642)</f>
        <v>4.1616389960861103E-2</v>
      </c>
      <c r="C728" s="46" cm="1">
        <f t="array" aca="1" ref="C728" ca="1">_xll.VoseSimValue(MortgageOut,642)</f>
        <v>9.6324640118424412E-2</v>
      </c>
    </row>
    <row r="729" spans="2:3" hidden="1" outlineLevel="1" x14ac:dyDescent="0.45">
      <c r="B729" s="46" cm="1">
        <f t="array" aca="1" ref="B729" ca="1">_xll.VoseSimValue(InterestOut,643)</f>
        <v>5.4421926850664132E-2</v>
      </c>
      <c r="C729" s="46" cm="1">
        <f t="array" aca="1" ref="C729" ca="1">_xll.VoseSimValue(MortgageOut,643)</f>
        <v>0.1071901441875546</v>
      </c>
    </row>
    <row r="730" spans="2:3" hidden="1" outlineLevel="1" x14ac:dyDescent="0.45">
      <c r="B730" s="46" cm="1">
        <f t="array" aca="1" ref="B730" ca="1">_xll.VoseSimValue(InterestOut,644)</f>
        <v>5.4099971177211804E-2</v>
      </c>
      <c r="C730" s="46" cm="1">
        <f t="array" aca="1" ref="C730" ca="1">_xll.VoseSimValue(MortgageOut,644)</f>
        <v>0.12389362624679007</v>
      </c>
    </row>
    <row r="731" spans="2:3" hidden="1" outlineLevel="1" x14ac:dyDescent="0.45">
      <c r="B731" s="46" cm="1">
        <f t="array" aca="1" ref="B731" ca="1">_xll.VoseSimValue(InterestOut,645)</f>
        <v>4.4047230474196016E-2</v>
      </c>
      <c r="C731" s="46" cm="1">
        <f t="array" aca="1" ref="C731" ca="1">_xll.VoseSimValue(MortgageOut,645)</f>
        <v>0.10814126532556967</v>
      </c>
    </row>
    <row r="732" spans="2:3" hidden="1" outlineLevel="1" x14ac:dyDescent="0.45">
      <c r="B732" s="46" cm="1">
        <f t="array" aca="1" ref="B732" ca="1">_xll.VoseSimValue(InterestOut,646)</f>
        <v>4.6482789917713735E-2</v>
      </c>
      <c r="C732" s="46" cm="1">
        <f t="array" aca="1" ref="C732" ca="1">_xll.VoseSimValue(MortgageOut,646)</f>
        <v>0.11071901763198905</v>
      </c>
    </row>
    <row r="733" spans="2:3" hidden="1" outlineLevel="1" x14ac:dyDescent="0.45">
      <c r="B733" s="46" cm="1">
        <f t="array" aca="1" ref="B733" ca="1">_xll.VoseSimValue(InterestOut,647)</f>
        <v>3.9513791927825538E-2</v>
      </c>
      <c r="C733" s="46" cm="1">
        <f t="array" aca="1" ref="C733" ca="1">_xll.VoseSimValue(MortgageOut,647)</f>
        <v>8.8632053914173073E-2</v>
      </c>
    </row>
    <row r="734" spans="2:3" hidden="1" outlineLevel="1" x14ac:dyDescent="0.45">
      <c r="B734" s="46" cm="1">
        <f t="array" aca="1" ref="B734" ca="1">_xll.VoseSimValue(InterestOut,648)</f>
        <v>6.4001086708185814E-2</v>
      </c>
      <c r="C734" s="46" cm="1">
        <f t="array" aca="1" ref="C734" ca="1">_xll.VoseSimValue(MortgageOut,648)</f>
        <v>0.12105165326958114</v>
      </c>
    </row>
    <row r="735" spans="2:3" hidden="1" outlineLevel="1" x14ac:dyDescent="0.45">
      <c r="B735" s="46" cm="1">
        <f t="array" aca="1" ref="B735" ca="1">_xll.VoseSimValue(InterestOut,649)</f>
        <v>5.1692259151903036E-2</v>
      </c>
      <c r="C735" s="46" cm="1">
        <f t="array" aca="1" ref="C735" ca="1">_xll.VoseSimValue(MortgageOut,649)</f>
        <v>0.11175535615247882</v>
      </c>
    </row>
    <row r="736" spans="2:3" hidden="1" outlineLevel="1" x14ac:dyDescent="0.45">
      <c r="B736" s="46" cm="1">
        <f t="array" aca="1" ref="B736" ca="1">_xll.VoseSimValue(InterestOut,650)</f>
        <v>5.9810407739120622E-2</v>
      </c>
      <c r="C736" s="46" cm="1">
        <f t="array" aca="1" ref="C736" ca="1">_xll.VoseSimValue(MortgageOut,650)</f>
        <v>0.11817230197525262</v>
      </c>
    </row>
    <row r="737" spans="2:3" hidden="1" outlineLevel="1" x14ac:dyDescent="0.45">
      <c r="B737" s="46" cm="1">
        <f t="array" aca="1" ref="B737" ca="1">_xll.VoseSimValue(InterestOut,651)</f>
        <v>5.0672365962391719E-2</v>
      </c>
      <c r="C737" s="46" cm="1">
        <f t="array" aca="1" ref="C737" ca="1">_xll.VoseSimValue(MortgageOut,651)</f>
        <v>0.10503981784995131</v>
      </c>
    </row>
    <row r="738" spans="2:3" hidden="1" outlineLevel="1" x14ac:dyDescent="0.45">
      <c r="B738" s="46" cm="1">
        <f t="array" aca="1" ref="B738" ca="1">_xll.VoseSimValue(InterestOut,652)</f>
        <v>4.3558379925151144E-2</v>
      </c>
      <c r="C738" s="46" cm="1">
        <f t="array" aca="1" ref="C738" ca="1">_xll.VoseSimValue(MortgageOut,652)</f>
        <v>0.10779173102583628</v>
      </c>
    </row>
    <row r="739" spans="2:3" hidden="1" outlineLevel="1" x14ac:dyDescent="0.45">
      <c r="B739" s="46" cm="1">
        <f t="array" aca="1" ref="B739" ca="1">_xll.VoseSimValue(InterestOut,653)</f>
        <v>4.1445412199996284E-2</v>
      </c>
      <c r="C739" s="46" cm="1">
        <f t="array" aca="1" ref="C739" ca="1">_xll.VoseSimValue(MortgageOut,653)</f>
        <v>9.6550248475730266E-2</v>
      </c>
    </row>
    <row r="740" spans="2:3" hidden="1" outlineLevel="1" x14ac:dyDescent="0.45">
      <c r="B740" s="46" cm="1">
        <f t="array" aca="1" ref="B740" ca="1">_xll.VoseSimValue(InterestOut,654)</f>
        <v>4.3021341894312115E-2</v>
      </c>
      <c r="C740" s="46" cm="1">
        <f t="array" aca="1" ref="C740" ca="1">_xll.VoseSimValue(MortgageOut,654)</f>
        <v>9.9940831920212206E-2</v>
      </c>
    </row>
    <row r="741" spans="2:3" hidden="1" outlineLevel="1" x14ac:dyDescent="0.45">
      <c r="B741" s="46" cm="1">
        <f t="array" aca="1" ref="B741" ca="1">_xll.VoseSimValue(InterestOut,655)</f>
        <v>5.4565215092821751E-2</v>
      </c>
      <c r="C741" s="46" cm="1">
        <f t="array" aca="1" ref="C741" ca="1">_xll.VoseSimValue(MortgageOut,655)</f>
        <v>0.10092521434540955</v>
      </c>
    </row>
    <row r="742" spans="2:3" hidden="1" outlineLevel="1" x14ac:dyDescent="0.45">
      <c r="B742" s="46" cm="1">
        <f t="array" aca="1" ref="B742" ca="1">_xll.VoseSimValue(InterestOut,656)</f>
        <v>5.6255178917947929E-2</v>
      </c>
      <c r="C742" s="46" cm="1">
        <f t="array" aca="1" ref="C742" ca="1">_xll.VoseSimValue(MortgageOut,656)</f>
        <v>0.10921583985118841</v>
      </c>
    </row>
    <row r="743" spans="2:3" hidden="1" outlineLevel="1" x14ac:dyDescent="0.45">
      <c r="B743" s="46" cm="1">
        <f t="array" aca="1" ref="B743" ca="1">_xll.VoseSimValue(InterestOut,657)</f>
        <v>5.2440769063277055E-2</v>
      </c>
      <c r="C743" s="46" cm="1">
        <f t="array" aca="1" ref="C743" ca="1">_xll.VoseSimValue(MortgageOut,657)</f>
        <v>0.12066620960540009</v>
      </c>
    </row>
    <row r="744" spans="2:3" hidden="1" outlineLevel="1" x14ac:dyDescent="0.45">
      <c r="B744" s="46" cm="1">
        <f t="array" aca="1" ref="B744" ca="1">_xll.VoseSimValue(InterestOut,658)</f>
        <v>4.1569137622031037E-2</v>
      </c>
      <c r="C744" s="46" cm="1">
        <f t="array" aca="1" ref="C744" ca="1">_xll.VoseSimValue(MortgageOut,658)</f>
        <v>0.10014418931639293</v>
      </c>
    </row>
    <row r="745" spans="2:3" hidden="1" outlineLevel="1" x14ac:dyDescent="0.45">
      <c r="B745" s="46" cm="1">
        <f t="array" aca="1" ref="B745" ca="1">_xll.VoseSimValue(InterestOut,659)</f>
        <v>5.548476186045756E-2</v>
      </c>
      <c r="C745" s="46" cm="1">
        <f t="array" aca="1" ref="C745" ca="1">_xll.VoseSimValue(MortgageOut,659)</f>
        <v>0.11677873622718157</v>
      </c>
    </row>
    <row r="746" spans="2:3" hidden="1" outlineLevel="1" x14ac:dyDescent="0.45">
      <c r="B746" s="46" cm="1">
        <f t="array" aca="1" ref="B746" ca="1">_xll.VoseSimValue(InterestOut,660)</f>
        <v>5.154693669424236E-2</v>
      </c>
      <c r="C746" s="46" cm="1">
        <f t="array" aca="1" ref="C746" ca="1">_xll.VoseSimValue(MortgageOut,660)</f>
        <v>9.6908822646715076E-2</v>
      </c>
    </row>
    <row r="747" spans="2:3" hidden="1" outlineLevel="1" x14ac:dyDescent="0.45">
      <c r="B747" s="46" cm="1">
        <f t="array" aca="1" ref="B747" ca="1">_xll.VoseSimValue(InterestOut,661)</f>
        <v>4.1157208094646028E-2</v>
      </c>
      <c r="C747" s="46" cm="1">
        <f t="array" aca="1" ref="C747" ca="1">_xll.VoseSimValue(MortgageOut,661)</f>
        <v>8.3108044425241917E-2</v>
      </c>
    </row>
    <row r="748" spans="2:3" hidden="1" outlineLevel="1" x14ac:dyDescent="0.45">
      <c r="B748" s="46" cm="1">
        <f t="array" aca="1" ref="B748" ca="1">_xll.VoseSimValue(InterestOut,662)</f>
        <v>7.2249680368216773E-2</v>
      </c>
      <c r="C748" s="46" cm="1">
        <f t="array" aca="1" ref="C748" ca="1">_xll.VoseSimValue(MortgageOut,662)</f>
        <v>0.1013909560521164</v>
      </c>
    </row>
    <row r="749" spans="2:3" hidden="1" outlineLevel="1" x14ac:dyDescent="0.45">
      <c r="B749" s="46" cm="1">
        <f t="array" aca="1" ref="B749" ca="1">_xll.VoseSimValue(InterestOut,663)</f>
        <v>5.8475984727992078E-2</v>
      </c>
      <c r="C749" s="46" cm="1">
        <f t="array" aca="1" ref="C749" ca="1">_xll.VoseSimValue(MortgageOut,663)</f>
        <v>0.11283361524333163</v>
      </c>
    </row>
    <row r="750" spans="2:3" hidden="1" outlineLevel="1" x14ac:dyDescent="0.45">
      <c r="B750" s="46" cm="1">
        <f t="array" aca="1" ref="B750" ca="1">_xll.VoseSimValue(InterestOut,664)</f>
        <v>4.1162458596354194E-2</v>
      </c>
      <c r="C750" s="46" cm="1">
        <f t="array" aca="1" ref="C750" ca="1">_xll.VoseSimValue(MortgageOut,664)</f>
        <v>8.0446116817740304E-2</v>
      </c>
    </row>
    <row r="751" spans="2:3" hidden="1" outlineLevel="1" x14ac:dyDescent="0.45">
      <c r="B751" s="46" cm="1">
        <f t="array" aca="1" ref="B751" ca="1">_xll.VoseSimValue(InterestOut,665)</f>
        <v>4.3697171060470601E-2</v>
      </c>
      <c r="C751" s="46" cm="1">
        <f t="array" aca="1" ref="C751" ca="1">_xll.VoseSimValue(MortgageOut,665)</f>
        <v>0.11612667942090966</v>
      </c>
    </row>
    <row r="752" spans="2:3" hidden="1" outlineLevel="1" x14ac:dyDescent="0.45">
      <c r="B752" s="46" cm="1">
        <f t="array" aca="1" ref="B752" ca="1">_xll.VoseSimValue(InterestOut,666)</f>
        <v>3.6861730785176627E-2</v>
      </c>
      <c r="C752" s="46" cm="1">
        <f t="array" aca="1" ref="C752" ca="1">_xll.VoseSimValue(MortgageOut,666)</f>
        <v>8.8274648902236352E-2</v>
      </c>
    </row>
    <row r="753" spans="2:3" hidden="1" outlineLevel="1" x14ac:dyDescent="0.45">
      <c r="B753" s="46" cm="1">
        <f t="array" aca="1" ref="B753" ca="1">_xll.VoseSimValue(InterestOut,667)</f>
        <v>5.1784786794048271E-2</v>
      </c>
      <c r="C753" s="46" cm="1">
        <f t="array" aca="1" ref="C753" ca="1">_xll.VoseSimValue(MortgageOut,667)</f>
        <v>8.8500090496218306E-2</v>
      </c>
    </row>
    <row r="754" spans="2:3" hidden="1" outlineLevel="1" x14ac:dyDescent="0.45">
      <c r="B754" s="46" cm="1">
        <f t="array" aca="1" ref="B754" ca="1">_xll.VoseSimValue(InterestOut,668)</f>
        <v>6.4444609215039195E-2</v>
      </c>
      <c r="C754" s="46" cm="1">
        <f t="array" aca="1" ref="C754" ca="1">_xll.VoseSimValue(MortgageOut,668)</f>
        <v>0.11749555511825309</v>
      </c>
    </row>
    <row r="755" spans="2:3" hidden="1" outlineLevel="1" x14ac:dyDescent="0.45">
      <c r="B755" s="46" cm="1">
        <f t="array" aca="1" ref="B755" ca="1">_xll.VoseSimValue(InterestOut,669)</f>
        <v>5.962965130345188E-2</v>
      </c>
      <c r="C755" s="46" cm="1">
        <f t="array" aca="1" ref="C755" ca="1">_xll.VoseSimValue(MortgageOut,669)</f>
        <v>0.10696139092967299</v>
      </c>
    </row>
    <row r="756" spans="2:3" hidden="1" outlineLevel="1" x14ac:dyDescent="0.45">
      <c r="B756" s="46" cm="1">
        <f t="array" aca="1" ref="B756" ca="1">_xll.VoseSimValue(InterestOut,670)</f>
        <v>5.731593147814032E-2</v>
      </c>
      <c r="C756" s="46" cm="1">
        <f t="array" aca="1" ref="C756" ca="1">_xll.VoseSimValue(MortgageOut,670)</f>
        <v>0.11459558266074737</v>
      </c>
    </row>
    <row r="757" spans="2:3" hidden="1" outlineLevel="1" x14ac:dyDescent="0.45">
      <c r="B757" s="46" cm="1">
        <f t="array" aca="1" ref="B757" ca="1">_xll.VoseSimValue(InterestOut,671)</f>
        <v>3.4962337210545646E-2</v>
      </c>
      <c r="C757" s="46" cm="1">
        <f t="array" aca="1" ref="C757" ca="1">_xll.VoseSimValue(MortgageOut,671)</f>
        <v>9.1745086109829926E-2</v>
      </c>
    </row>
    <row r="758" spans="2:3" hidden="1" outlineLevel="1" x14ac:dyDescent="0.45">
      <c r="B758" s="46" cm="1">
        <f t="array" aca="1" ref="B758" ca="1">_xll.VoseSimValue(InterestOut,672)</f>
        <v>4.6238464592567016E-2</v>
      </c>
      <c r="C758" s="46" cm="1">
        <f t="array" aca="1" ref="C758" ca="1">_xll.VoseSimValue(MortgageOut,672)</f>
        <v>0.10075346283224285</v>
      </c>
    </row>
    <row r="759" spans="2:3" hidden="1" outlineLevel="1" x14ac:dyDescent="0.45">
      <c r="B759" s="46" cm="1">
        <f t="array" aca="1" ref="B759" ca="1">_xll.VoseSimValue(InterestOut,673)</f>
        <v>4.66232251816871E-2</v>
      </c>
      <c r="C759" s="46" cm="1">
        <f t="array" aca="1" ref="C759" ca="1">_xll.VoseSimValue(MortgageOut,673)</f>
        <v>8.2955658958301093E-2</v>
      </c>
    </row>
    <row r="760" spans="2:3" hidden="1" outlineLevel="1" x14ac:dyDescent="0.45">
      <c r="B760" s="46" cm="1">
        <f t="array" aca="1" ref="B760" ca="1">_xll.VoseSimValue(InterestOut,674)</f>
        <v>4.8460638148790369E-2</v>
      </c>
      <c r="C760" s="46" cm="1">
        <f t="array" aca="1" ref="C760" ca="1">_xll.VoseSimValue(MortgageOut,674)</f>
        <v>8.7066529292261705E-2</v>
      </c>
    </row>
    <row r="761" spans="2:3" hidden="1" outlineLevel="1" x14ac:dyDescent="0.45">
      <c r="B761" s="46" cm="1">
        <f t="array" aca="1" ref="B761" ca="1">_xll.VoseSimValue(InterestOut,675)</f>
        <v>6.314644788244328E-2</v>
      </c>
      <c r="C761" s="46" cm="1">
        <f t="array" aca="1" ref="C761" ca="1">_xll.VoseSimValue(MortgageOut,675)</f>
        <v>0.12409031723185775</v>
      </c>
    </row>
    <row r="762" spans="2:3" hidden="1" outlineLevel="1" x14ac:dyDescent="0.45">
      <c r="B762" s="46" cm="1">
        <f t="array" aca="1" ref="B762" ca="1">_xll.VoseSimValue(InterestOut,676)</f>
        <v>3.8577140838247349E-2</v>
      </c>
      <c r="C762" s="46" cm="1">
        <f t="array" aca="1" ref="C762" ca="1">_xll.VoseSimValue(MortgageOut,676)</f>
        <v>8.7614363525795769E-2</v>
      </c>
    </row>
    <row r="763" spans="2:3" hidden="1" outlineLevel="1" x14ac:dyDescent="0.45">
      <c r="B763" s="46" cm="1">
        <f t="array" aca="1" ref="B763" ca="1">_xll.VoseSimValue(InterestOut,677)</f>
        <v>6.1903580099436882E-2</v>
      </c>
      <c r="C763" s="46" cm="1">
        <f t="array" aca="1" ref="C763" ca="1">_xll.VoseSimValue(MortgageOut,677)</f>
        <v>0.11737395256046197</v>
      </c>
    </row>
    <row r="764" spans="2:3" hidden="1" outlineLevel="1" x14ac:dyDescent="0.45">
      <c r="B764" s="46" cm="1">
        <f t="array" aca="1" ref="B764" ca="1">_xll.VoseSimValue(InterestOut,678)</f>
        <v>4.7374188782652371E-2</v>
      </c>
      <c r="C764" s="46" cm="1">
        <f t="array" aca="1" ref="C764" ca="1">_xll.VoseSimValue(MortgageOut,678)</f>
        <v>9.6969508961556594E-2</v>
      </c>
    </row>
    <row r="765" spans="2:3" hidden="1" outlineLevel="1" x14ac:dyDescent="0.45">
      <c r="B765" s="46" cm="1">
        <f t="array" aca="1" ref="B765" ca="1">_xll.VoseSimValue(InterestOut,679)</f>
        <v>5.2292072793917829E-2</v>
      </c>
      <c r="C765" s="46" cm="1">
        <f t="array" aca="1" ref="C765" ca="1">_xll.VoseSimValue(MortgageOut,679)</f>
        <v>0.11201360192321681</v>
      </c>
    </row>
    <row r="766" spans="2:3" hidden="1" outlineLevel="1" x14ac:dyDescent="0.45">
      <c r="B766" s="46" cm="1">
        <f t="array" aca="1" ref="B766" ca="1">_xll.VoseSimValue(InterestOut,680)</f>
        <v>3.1438175289822658E-2</v>
      </c>
      <c r="C766" s="46" cm="1">
        <f t="array" aca="1" ref="C766" ca="1">_xll.VoseSimValue(MortgageOut,680)</f>
        <v>7.8138451140128837E-2</v>
      </c>
    </row>
    <row r="767" spans="2:3" hidden="1" outlineLevel="1" x14ac:dyDescent="0.45">
      <c r="B767" s="46" cm="1">
        <f t="array" aca="1" ref="B767" ca="1">_xll.VoseSimValue(InterestOut,681)</f>
        <v>6.2856080505512252E-2</v>
      </c>
      <c r="C767" s="46" cm="1">
        <f t="array" aca="1" ref="C767" ca="1">_xll.VoseSimValue(MortgageOut,681)</f>
        <v>0.11765584610634021</v>
      </c>
    </row>
    <row r="768" spans="2:3" hidden="1" outlineLevel="1" x14ac:dyDescent="0.45">
      <c r="B768" s="46" cm="1">
        <f t="array" aca="1" ref="B768" ca="1">_xll.VoseSimValue(InterestOut,682)</f>
        <v>5.4644492965154168E-2</v>
      </c>
      <c r="C768" s="46" cm="1">
        <f t="array" aca="1" ref="C768" ca="1">_xll.VoseSimValue(MortgageOut,682)</f>
        <v>0.10855621509224561</v>
      </c>
    </row>
    <row r="769" spans="2:3" hidden="1" outlineLevel="1" x14ac:dyDescent="0.45">
      <c r="B769" s="46" cm="1">
        <f t="array" aca="1" ref="B769" ca="1">_xll.VoseSimValue(InterestOut,683)</f>
        <v>6.7706870406218492E-2</v>
      </c>
      <c r="C769" s="46" cm="1">
        <f t="array" aca="1" ref="C769" ca="1">_xll.VoseSimValue(MortgageOut,683)</f>
        <v>0.13735928326638838</v>
      </c>
    </row>
    <row r="770" spans="2:3" hidden="1" outlineLevel="1" x14ac:dyDescent="0.45">
      <c r="B770" s="46" cm="1">
        <f t="array" aca="1" ref="B770" ca="1">_xll.VoseSimValue(InterestOut,684)</f>
        <v>4.3023309706676387E-2</v>
      </c>
      <c r="C770" s="46" cm="1">
        <f t="array" aca="1" ref="C770" ca="1">_xll.VoseSimValue(MortgageOut,684)</f>
        <v>9.6037786425067884E-2</v>
      </c>
    </row>
    <row r="771" spans="2:3" hidden="1" outlineLevel="1" x14ac:dyDescent="0.45">
      <c r="B771" s="46" cm="1">
        <f t="array" aca="1" ref="B771" ca="1">_xll.VoseSimValue(InterestOut,685)</f>
        <v>6.116153767455694E-2</v>
      </c>
      <c r="C771" s="46" cm="1">
        <f t="array" aca="1" ref="C771" ca="1">_xll.VoseSimValue(MortgageOut,685)</f>
        <v>0.10984143035108362</v>
      </c>
    </row>
    <row r="772" spans="2:3" hidden="1" outlineLevel="1" x14ac:dyDescent="0.45">
      <c r="B772" s="46" cm="1">
        <f t="array" aca="1" ref="B772" ca="1">_xll.VoseSimValue(InterestOut,686)</f>
        <v>5.4658016458678862E-2</v>
      </c>
      <c r="C772" s="46" cm="1">
        <f t="array" aca="1" ref="C772" ca="1">_xll.VoseSimValue(MortgageOut,686)</f>
        <v>0.10890100053963304</v>
      </c>
    </row>
    <row r="773" spans="2:3" hidden="1" outlineLevel="1" x14ac:dyDescent="0.45">
      <c r="B773" s="46" cm="1">
        <f t="array" aca="1" ref="B773" ca="1">_xll.VoseSimValue(InterestOut,687)</f>
        <v>6.2303113360514834E-2</v>
      </c>
      <c r="C773" s="46" cm="1">
        <f t="array" aca="1" ref="C773" ca="1">_xll.VoseSimValue(MortgageOut,687)</f>
        <v>0.11780692594913983</v>
      </c>
    </row>
    <row r="774" spans="2:3" hidden="1" outlineLevel="1" x14ac:dyDescent="0.45">
      <c r="B774" s="46" cm="1">
        <f t="array" aca="1" ref="B774" ca="1">_xll.VoseSimValue(InterestOut,688)</f>
        <v>4.6543740639097303E-2</v>
      </c>
      <c r="C774" s="46" cm="1">
        <f t="array" aca="1" ref="C774" ca="1">_xll.VoseSimValue(MortgageOut,688)</f>
        <v>0.10507906654121443</v>
      </c>
    </row>
    <row r="775" spans="2:3" hidden="1" outlineLevel="1" x14ac:dyDescent="0.45">
      <c r="B775" s="46" cm="1">
        <f t="array" aca="1" ref="B775" ca="1">_xll.VoseSimValue(InterestOut,689)</f>
        <v>3.9377648494079237E-2</v>
      </c>
      <c r="C775" s="46" cm="1">
        <f t="array" aca="1" ref="C775" ca="1">_xll.VoseSimValue(MortgageOut,689)</f>
        <v>7.6885812025270964E-2</v>
      </c>
    </row>
    <row r="776" spans="2:3" hidden="1" outlineLevel="1" x14ac:dyDescent="0.45">
      <c r="B776" s="46" cm="1">
        <f t="array" aca="1" ref="B776" ca="1">_xll.VoseSimValue(InterestOut,690)</f>
        <v>3.6801799776107577E-2</v>
      </c>
      <c r="C776" s="46" cm="1">
        <f t="array" aca="1" ref="C776" ca="1">_xll.VoseSimValue(MortgageOut,690)</f>
        <v>8.5934698321119482E-2</v>
      </c>
    </row>
    <row r="777" spans="2:3" hidden="1" outlineLevel="1" x14ac:dyDescent="0.45">
      <c r="B777" s="46" cm="1">
        <f t="array" aca="1" ref="B777" ca="1">_xll.VoseSimValue(InterestOut,691)</f>
        <v>5.5403063002024244E-2</v>
      </c>
      <c r="C777" s="46" cm="1">
        <f t="array" aca="1" ref="C777" ca="1">_xll.VoseSimValue(MortgageOut,691)</f>
        <v>0.11010498947994503</v>
      </c>
    </row>
    <row r="778" spans="2:3" hidden="1" outlineLevel="1" x14ac:dyDescent="0.45">
      <c r="B778" s="46" cm="1">
        <f t="array" aca="1" ref="B778" ca="1">_xll.VoseSimValue(InterestOut,692)</f>
        <v>5.7567636508497978E-2</v>
      </c>
      <c r="C778" s="46" cm="1">
        <f t="array" aca="1" ref="C778" ca="1">_xll.VoseSimValue(MortgageOut,692)</f>
        <v>0.11373931921125484</v>
      </c>
    </row>
    <row r="779" spans="2:3" hidden="1" outlineLevel="1" x14ac:dyDescent="0.45">
      <c r="B779" s="46" cm="1">
        <f t="array" aca="1" ref="B779" ca="1">_xll.VoseSimValue(InterestOut,693)</f>
        <v>5.695121767289138E-2</v>
      </c>
      <c r="C779" s="46" cm="1">
        <f t="array" aca="1" ref="C779" ca="1">_xll.VoseSimValue(MortgageOut,693)</f>
        <v>0.10786320276249864</v>
      </c>
    </row>
    <row r="780" spans="2:3" hidden="1" outlineLevel="1" x14ac:dyDescent="0.45">
      <c r="B780" s="46" cm="1">
        <f t="array" aca="1" ref="B780" ca="1">_xll.VoseSimValue(InterestOut,694)</f>
        <v>5.8733066859564323E-2</v>
      </c>
      <c r="C780" s="46" cm="1">
        <f t="array" aca="1" ref="C780" ca="1">_xll.VoseSimValue(MortgageOut,694)</f>
        <v>9.3633539417454406E-2</v>
      </c>
    </row>
    <row r="781" spans="2:3" hidden="1" outlineLevel="1" x14ac:dyDescent="0.45">
      <c r="B781" s="46" cm="1">
        <f t="array" aca="1" ref="B781" ca="1">_xll.VoseSimValue(InterestOut,695)</f>
        <v>5.4242438837892128E-2</v>
      </c>
      <c r="C781" s="46" cm="1">
        <f t="array" aca="1" ref="C781" ca="1">_xll.VoseSimValue(MortgageOut,695)</f>
        <v>0.12679454423651385</v>
      </c>
    </row>
    <row r="782" spans="2:3" hidden="1" outlineLevel="1" x14ac:dyDescent="0.45">
      <c r="B782" s="46" cm="1">
        <f t="array" aca="1" ref="B782" ca="1">_xll.VoseSimValue(InterestOut,696)</f>
        <v>4.8813197731734911E-2</v>
      </c>
      <c r="C782" s="46" cm="1">
        <f t="array" aca="1" ref="C782" ca="1">_xll.VoseSimValue(MortgageOut,696)</f>
        <v>9.925054675973663E-2</v>
      </c>
    </row>
    <row r="783" spans="2:3" hidden="1" outlineLevel="1" x14ac:dyDescent="0.45">
      <c r="B783" s="46" cm="1">
        <f t="array" aca="1" ref="B783" ca="1">_xll.VoseSimValue(InterestOut,697)</f>
        <v>6.0145013083424653E-2</v>
      </c>
      <c r="C783" s="46" cm="1">
        <f t="array" aca="1" ref="C783" ca="1">_xll.VoseSimValue(MortgageOut,697)</f>
        <v>0.12989403516430495</v>
      </c>
    </row>
    <row r="784" spans="2:3" hidden="1" outlineLevel="1" x14ac:dyDescent="0.45">
      <c r="B784" s="46" cm="1">
        <f t="array" aca="1" ref="B784" ca="1">_xll.VoseSimValue(InterestOut,698)</f>
        <v>5.6976279935250292E-2</v>
      </c>
      <c r="C784" s="46" cm="1">
        <f t="array" aca="1" ref="C784" ca="1">_xll.VoseSimValue(MortgageOut,698)</f>
        <v>0.12446754197359078</v>
      </c>
    </row>
    <row r="785" spans="2:3" hidden="1" outlineLevel="1" x14ac:dyDescent="0.45">
      <c r="B785" s="46" cm="1">
        <f t="array" aca="1" ref="B785" ca="1">_xll.VoseSimValue(InterestOut,699)</f>
        <v>3.5954751869718096E-2</v>
      </c>
      <c r="C785" s="46" cm="1">
        <f t="array" aca="1" ref="C785" ca="1">_xll.VoseSimValue(MortgageOut,699)</f>
        <v>7.7488369595832107E-2</v>
      </c>
    </row>
    <row r="786" spans="2:3" hidden="1" outlineLevel="1" x14ac:dyDescent="0.45">
      <c r="B786" s="46" cm="1">
        <f t="array" aca="1" ref="B786" ca="1">_xll.VoseSimValue(InterestOut,700)</f>
        <v>5.3557212798120313E-2</v>
      </c>
      <c r="C786" s="46" cm="1">
        <f t="array" aca="1" ref="C786" ca="1">_xll.VoseSimValue(MortgageOut,700)</f>
        <v>0.11943453414297728</v>
      </c>
    </row>
    <row r="787" spans="2:3" hidden="1" outlineLevel="1" x14ac:dyDescent="0.45">
      <c r="B787" s="46" cm="1">
        <f t="array" aca="1" ref="B787" ca="1">_xll.VoseSimValue(InterestOut,701)</f>
        <v>5.9105402663632248E-2</v>
      </c>
      <c r="C787" s="46" cm="1">
        <f t="array" aca="1" ref="C787" ca="1">_xll.VoseSimValue(MortgageOut,701)</f>
        <v>9.451526845136772E-2</v>
      </c>
    </row>
    <row r="788" spans="2:3" hidden="1" outlineLevel="1" x14ac:dyDescent="0.45">
      <c r="B788" s="46" cm="1">
        <f t="array" aca="1" ref="B788" ca="1">_xll.VoseSimValue(InterestOut,702)</f>
        <v>6.9559552353079701E-2</v>
      </c>
      <c r="C788" s="46" cm="1">
        <f t="array" aca="1" ref="C788" ca="1">_xll.VoseSimValue(MortgageOut,702)</f>
        <v>0.13470240687310758</v>
      </c>
    </row>
    <row r="789" spans="2:3" hidden="1" outlineLevel="1" x14ac:dyDescent="0.45">
      <c r="B789" s="46" cm="1">
        <f t="array" aca="1" ref="B789" ca="1">_xll.VoseSimValue(InterestOut,703)</f>
        <v>5.7832976014665555E-2</v>
      </c>
      <c r="C789" s="46" cm="1">
        <f t="array" aca="1" ref="C789" ca="1">_xll.VoseSimValue(MortgageOut,703)</f>
        <v>9.8305251410113884E-2</v>
      </c>
    </row>
    <row r="790" spans="2:3" hidden="1" outlineLevel="1" x14ac:dyDescent="0.45">
      <c r="B790" s="46" cm="1">
        <f t="array" aca="1" ref="B790" ca="1">_xll.VoseSimValue(InterestOut,704)</f>
        <v>4.6060309700205221E-2</v>
      </c>
      <c r="C790" s="46" cm="1">
        <f t="array" aca="1" ref="C790" ca="1">_xll.VoseSimValue(MortgageOut,704)</f>
        <v>9.3962403017911006E-2</v>
      </c>
    </row>
    <row r="791" spans="2:3" hidden="1" outlineLevel="1" x14ac:dyDescent="0.45">
      <c r="B791" s="46" cm="1">
        <f t="array" aca="1" ref="B791" ca="1">_xll.VoseSimValue(InterestOut,705)</f>
        <v>4.4811870643026296E-2</v>
      </c>
      <c r="C791" s="46" cm="1">
        <f t="array" aca="1" ref="C791" ca="1">_xll.VoseSimValue(MortgageOut,705)</f>
        <v>8.8513552860172623E-2</v>
      </c>
    </row>
    <row r="792" spans="2:3" hidden="1" outlineLevel="1" x14ac:dyDescent="0.45">
      <c r="B792" s="46" cm="1">
        <f t="array" aca="1" ref="B792" ca="1">_xll.VoseSimValue(InterestOut,706)</f>
        <v>4.6332788889369328E-2</v>
      </c>
      <c r="C792" s="46" cm="1">
        <f t="array" aca="1" ref="C792" ca="1">_xll.VoseSimValue(MortgageOut,706)</f>
        <v>8.5655332991878511E-2</v>
      </c>
    </row>
    <row r="793" spans="2:3" hidden="1" outlineLevel="1" x14ac:dyDescent="0.45">
      <c r="B793" s="46" cm="1">
        <f t="array" aca="1" ref="B793" ca="1">_xll.VoseSimValue(InterestOut,707)</f>
        <v>4.4735763743058987E-2</v>
      </c>
      <c r="C793" s="46" cm="1">
        <f t="array" aca="1" ref="C793" ca="1">_xll.VoseSimValue(MortgageOut,707)</f>
        <v>0.1032148407912237</v>
      </c>
    </row>
    <row r="794" spans="2:3" hidden="1" outlineLevel="1" x14ac:dyDescent="0.45">
      <c r="B794" s="46" cm="1">
        <f t="array" aca="1" ref="B794" ca="1">_xll.VoseSimValue(InterestOut,708)</f>
        <v>4.383084271280354E-2</v>
      </c>
      <c r="C794" s="46" cm="1">
        <f t="array" aca="1" ref="C794" ca="1">_xll.VoseSimValue(MortgageOut,708)</f>
        <v>9.1988203492934281E-2</v>
      </c>
    </row>
    <row r="795" spans="2:3" hidden="1" outlineLevel="1" x14ac:dyDescent="0.45">
      <c r="B795" s="46" cm="1">
        <f t="array" aca="1" ref="B795" ca="1">_xll.VoseSimValue(InterestOut,709)</f>
        <v>5.4860829985127257E-2</v>
      </c>
      <c r="C795" s="46" cm="1">
        <f t="array" aca="1" ref="C795" ca="1">_xll.VoseSimValue(MortgageOut,709)</f>
        <v>0.10926645503393199</v>
      </c>
    </row>
    <row r="796" spans="2:3" hidden="1" outlineLevel="1" x14ac:dyDescent="0.45">
      <c r="B796" s="46" cm="1">
        <f t="array" aca="1" ref="B796" ca="1">_xll.VoseSimValue(InterestOut,710)</f>
        <v>5.6015356731756435E-2</v>
      </c>
      <c r="C796" s="46" cm="1">
        <f t="array" aca="1" ref="C796" ca="1">_xll.VoseSimValue(MortgageOut,710)</f>
        <v>8.688486039713364E-2</v>
      </c>
    </row>
    <row r="797" spans="2:3" hidden="1" outlineLevel="1" x14ac:dyDescent="0.45">
      <c r="B797" s="46" cm="1">
        <f t="array" aca="1" ref="B797" ca="1">_xll.VoseSimValue(InterestOut,711)</f>
        <v>4.7190672555935481E-2</v>
      </c>
      <c r="C797" s="46" cm="1">
        <f t="array" aca="1" ref="C797" ca="1">_xll.VoseSimValue(MortgageOut,711)</f>
        <v>0.10075001015838189</v>
      </c>
    </row>
    <row r="798" spans="2:3" hidden="1" outlineLevel="1" x14ac:dyDescent="0.45">
      <c r="B798" s="46" cm="1">
        <f t="array" aca="1" ref="B798" ca="1">_xll.VoseSimValue(InterestOut,712)</f>
        <v>5.9405654679873521E-2</v>
      </c>
      <c r="C798" s="46" cm="1">
        <f t="array" aca="1" ref="C798" ca="1">_xll.VoseSimValue(MortgageOut,712)</f>
        <v>9.5563347891978928E-2</v>
      </c>
    </row>
    <row r="799" spans="2:3" hidden="1" outlineLevel="1" x14ac:dyDescent="0.45">
      <c r="B799" s="46" cm="1">
        <f t="array" aca="1" ref="B799" ca="1">_xll.VoseSimValue(InterestOut,713)</f>
        <v>6.0034609181966542E-2</v>
      </c>
      <c r="C799" s="46" cm="1">
        <f t="array" aca="1" ref="C799" ca="1">_xll.VoseSimValue(MortgageOut,713)</f>
        <v>0.11229137981945843</v>
      </c>
    </row>
    <row r="800" spans="2:3" hidden="1" outlineLevel="1" x14ac:dyDescent="0.45">
      <c r="B800" s="46" cm="1">
        <f t="array" aca="1" ref="B800" ca="1">_xll.VoseSimValue(InterestOut,714)</f>
        <v>5.1607743620995822E-2</v>
      </c>
      <c r="C800" s="46" cm="1">
        <f t="array" aca="1" ref="C800" ca="1">_xll.VoseSimValue(MortgageOut,714)</f>
        <v>0.12093080493882134</v>
      </c>
    </row>
    <row r="801" spans="2:3" hidden="1" outlineLevel="1" x14ac:dyDescent="0.45">
      <c r="B801" s="46" cm="1">
        <f t="array" aca="1" ref="B801" ca="1">_xll.VoseSimValue(InterestOut,715)</f>
        <v>4.9859510888961296E-2</v>
      </c>
      <c r="C801" s="46" cm="1">
        <f t="array" aca="1" ref="C801" ca="1">_xll.VoseSimValue(MortgageOut,715)</f>
        <v>8.1727781435588509E-2</v>
      </c>
    </row>
    <row r="802" spans="2:3" hidden="1" outlineLevel="1" x14ac:dyDescent="0.45">
      <c r="B802" s="46" cm="1">
        <f t="array" aca="1" ref="B802" ca="1">_xll.VoseSimValue(InterestOut,716)</f>
        <v>5.4382295481878645E-2</v>
      </c>
      <c r="C802" s="46" cm="1">
        <f t="array" aca="1" ref="C802" ca="1">_xll.VoseSimValue(MortgageOut,716)</f>
        <v>0.11598962746417371</v>
      </c>
    </row>
    <row r="803" spans="2:3" hidden="1" outlineLevel="1" x14ac:dyDescent="0.45">
      <c r="B803" s="46" cm="1">
        <f t="array" aca="1" ref="B803" ca="1">_xll.VoseSimValue(InterestOut,717)</f>
        <v>5.9539774949708663E-2</v>
      </c>
      <c r="C803" s="46" cm="1">
        <f t="array" aca="1" ref="C803" ca="1">_xll.VoseSimValue(MortgageOut,717)</f>
        <v>0.10966117470880617</v>
      </c>
    </row>
    <row r="804" spans="2:3" hidden="1" outlineLevel="1" x14ac:dyDescent="0.45">
      <c r="B804" s="46" cm="1">
        <f t="array" aca="1" ref="B804" ca="1">_xll.VoseSimValue(InterestOut,718)</f>
        <v>3.6699156183588683E-2</v>
      </c>
      <c r="C804" s="46" cm="1">
        <f t="array" aca="1" ref="C804" ca="1">_xll.VoseSimValue(MortgageOut,718)</f>
        <v>8.8900659824613898E-2</v>
      </c>
    </row>
    <row r="805" spans="2:3" hidden="1" outlineLevel="1" x14ac:dyDescent="0.45">
      <c r="B805" s="46" cm="1">
        <f t="array" aca="1" ref="B805" ca="1">_xll.VoseSimValue(InterestOut,719)</f>
        <v>7.2777772640870791E-2</v>
      </c>
      <c r="C805" s="46" cm="1">
        <f t="array" aca="1" ref="C805" ca="1">_xll.VoseSimValue(MortgageOut,719)</f>
        <v>0.15045534389128856</v>
      </c>
    </row>
    <row r="806" spans="2:3" hidden="1" outlineLevel="1" x14ac:dyDescent="0.45">
      <c r="B806" s="46" cm="1">
        <f t="array" aca="1" ref="B806" ca="1">_xll.VoseSimValue(InterestOut,720)</f>
        <v>4.9858285943030406E-2</v>
      </c>
      <c r="C806" s="46" cm="1">
        <f t="array" aca="1" ref="C806" ca="1">_xll.VoseSimValue(MortgageOut,720)</f>
        <v>0.1247460352566814</v>
      </c>
    </row>
    <row r="807" spans="2:3" hidden="1" outlineLevel="1" x14ac:dyDescent="0.45">
      <c r="B807" s="46" cm="1">
        <f t="array" aca="1" ref="B807" ca="1">_xll.VoseSimValue(InterestOut,721)</f>
        <v>4.5959632051846867E-2</v>
      </c>
      <c r="C807" s="46" cm="1">
        <f t="array" aca="1" ref="C807" ca="1">_xll.VoseSimValue(MortgageOut,721)</f>
        <v>0.10767225869097756</v>
      </c>
    </row>
    <row r="808" spans="2:3" hidden="1" outlineLevel="1" x14ac:dyDescent="0.45">
      <c r="B808" s="46" cm="1">
        <f t="array" aca="1" ref="B808" ca="1">_xll.VoseSimValue(InterestOut,722)</f>
        <v>6.9390247122159132E-2</v>
      </c>
      <c r="C808" s="46" cm="1">
        <f t="array" aca="1" ref="C808" ca="1">_xll.VoseSimValue(MortgageOut,722)</f>
        <v>0.13609824802215234</v>
      </c>
    </row>
    <row r="809" spans="2:3" hidden="1" outlineLevel="1" x14ac:dyDescent="0.45">
      <c r="B809" s="46" cm="1">
        <f t="array" aca="1" ref="B809" ca="1">_xll.VoseSimValue(InterestOut,723)</f>
        <v>4.1101838550555193E-2</v>
      </c>
      <c r="C809" s="46" cm="1">
        <f t="array" aca="1" ref="C809" ca="1">_xll.VoseSimValue(MortgageOut,723)</f>
        <v>9.4850881367133599E-2</v>
      </c>
    </row>
    <row r="810" spans="2:3" hidden="1" outlineLevel="1" x14ac:dyDescent="0.45">
      <c r="B810" s="46" cm="1">
        <f t="array" aca="1" ref="B810" ca="1">_xll.VoseSimValue(InterestOut,724)</f>
        <v>4.7573541361375433E-2</v>
      </c>
      <c r="C810" s="46" cm="1">
        <f t="array" aca="1" ref="C810" ca="1">_xll.VoseSimValue(MortgageOut,724)</f>
        <v>8.6667530771706205E-2</v>
      </c>
    </row>
    <row r="811" spans="2:3" hidden="1" outlineLevel="1" x14ac:dyDescent="0.45">
      <c r="B811" s="46" cm="1">
        <f t="array" aca="1" ref="B811" ca="1">_xll.VoseSimValue(InterestOut,725)</f>
        <v>6.4564642389755539E-2</v>
      </c>
      <c r="C811" s="46" cm="1">
        <f t="array" aca="1" ref="C811" ca="1">_xll.VoseSimValue(MortgageOut,725)</f>
        <v>0.10785615929742846</v>
      </c>
    </row>
    <row r="812" spans="2:3" hidden="1" outlineLevel="1" x14ac:dyDescent="0.45">
      <c r="B812" s="46" cm="1">
        <f t="array" aca="1" ref="B812" ca="1">_xll.VoseSimValue(InterestOut,726)</f>
        <v>5.2709235652011563E-2</v>
      </c>
      <c r="C812" s="46" cm="1">
        <f t="array" aca="1" ref="C812" ca="1">_xll.VoseSimValue(MortgageOut,726)</f>
        <v>9.7415368412132552E-2</v>
      </c>
    </row>
    <row r="813" spans="2:3" hidden="1" outlineLevel="1" x14ac:dyDescent="0.45">
      <c r="B813" s="46" cm="1">
        <f t="array" aca="1" ref="B813" ca="1">_xll.VoseSimValue(InterestOut,727)</f>
        <v>5.2375296898402604E-2</v>
      </c>
      <c r="C813" s="46" cm="1">
        <f t="array" aca="1" ref="C813" ca="1">_xll.VoseSimValue(MortgageOut,727)</f>
        <v>0.11956955665386632</v>
      </c>
    </row>
    <row r="814" spans="2:3" hidden="1" outlineLevel="1" x14ac:dyDescent="0.45">
      <c r="B814" s="46" cm="1">
        <f t="array" aca="1" ref="B814" ca="1">_xll.VoseSimValue(InterestOut,728)</f>
        <v>4.8946147772246651E-2</v>
      </c>
      <c r="C814" s="46" cm="1">
        <f t="array" aca="1" ref="C814" ca="1">_xll.VoseSimValue(MortgageOut,728)</f>
        <v>0.11235289572879753</v>
      </c>
    </row>
    <row r="815" spans="2:3" hidden="1" outlineLevel="1" x14ac:dyDescent="0.45">
      <c r="B815" s="46" cm="1">
        <f t="array" aca="1" ref="B815" ca="1">_xll.VoseSimValue(InterestOut,729)</f>
        <v>7.0167877616910151E-2</v>
      </c>
      <c r="C815" s="46" cm="1">
        <f t="array" aca="1" ref="C815" ca="1">_xll.VoseSimValue(MortgageOut,729)</f>
        <v>0.12085771934731271</v>
      </c>
    </row>
    <row r="816" spans="2:3" hidden="1" outlineLevel="1" x14ac:dyDescent="0.45">
      <c r="B816" s="46" cm="1">
        <f t="array" aca="1" ref="B816" ca="1">_xll.VoseSimValue(InterestOut,730)</f>
        <v>6.9183105882928003E-2</v>
      </c>
      <c r="C816" s="46" cm="1">
        <f t="array" aca="1" ref="C816" ca="1">_xll.VoseSimValue(MortgageOut,730)</f>
        <v>0.13566186040006042</v>
      </c>
    </row>
    <row r="817" spans="2:3" hidden="1" outlineLevel="1" x14ac:dyDescent="0.45">
      <c r="B817" s="46" cm="1">
        <f t="array" aca="1" ref="B817" ca="1">_xll.VoseSimValue(InterestOut,731)</f>
        <v>5.4982735667812449E-2</v>
      </c>
      <c r="C817" s="46" cm="1">
        <f t="array" aca="1" ref="C817" ca="1">_xll.VoseSimValue(MortgageOut,731)</f>
        <v>0.11155505151213473</v>
      </c>
    </row>
    <row r="818" spans="2:3" hidden="1" outlineLevel="1" x14ac:dyDescent="0.45">
      <c r="B818" s="46" cm="1">
        <f t="array" aca="1" ref="B818" ca="1">_xll.VoseSimValue(InterestOut,732)</f>
        <v>4.3110939895349865E-2</v>
      </c>
      <c r="C818" s="46" cm="1">
        <f t="array" aca="1" ref="C818" ca="1">_xll.VoseSimValue(MortgageOut,732)</f>
        <v>9.4820002661740441E-2</v>
      </c>
    </row>
    <row r="819" spans="2:3" hidden="1" outlineLevel="1" x14ac:dyDescent="0.45">
      <c r="B819" s="46" cm="1">
        <f t="array" aca="1" ref="B819" ca="1">_xll.VoseSimValue(InterestOut,733)</f>
        <v>7.3717492699448092E-2</v>
      </c>
      <c r="C819" s="46" cm="1">
        <f t="array" aca="1" ref="C819" ca="1">_xll.VoseSimValue(MortgageOut,733)</f>
        <v>0.11638900642587546</v>
      </c>
    </row>
    <row r="820" spans="2:3" hidden="1" outlineLevel="1" x14ac:dyDescent="0.45">
      <c r="B820" s="46" cm="1">
        <f t="array" aca="1" ref="B820" ca="1">_xll.VoseSimValue(InterestOut,734)</f>
        <v>7.3389135740436692E-2</v>
      </c>
      <c r="C820" s="46" cm="1">
        <f t="array" aca="1" ref="C820" ca="1">_xll.VoseSimValue(MortgageOut,734)</f>
        <v>0.11706227921866696</v>
      </c>
    </row>
    <row r="821" spans="2:3" hidden="1" outlineLevel="1" x14ac:dyDescent="0.45">
      <c r="B821" s="46" cm="1">
        <f t="array" aca="1" ref="B821" ca="1">_xll.VoseSimValue(InterestOut,735)</f>
        <v>5.2495873106535695E-2</v>
      </c>
      <c r="C821" s="46" cm="1">
        <f t="array" aca="1" ref="C821" ca="1">_xll.VoseSimValue(MortgageOut,735)</f>
        <v>0.10063939360658072</v>
      </c>
    </row>
    <row r="822" spans="2:3" hidden="1" outlineLevel="1" x14ac:dyDescent="0.45">
      <c r="B822" s="46" cm="1">
        <f t="array" aca="1" ref="B822" ca="1">_xll.VoseSimValue(InterestOut,736)</f>
        <v>5.5631346907402582E-2</v>
      </c>
      <c r="C822" s="46" cm="1">
        <f t="array" aca="1" ref="C822" ca="1">_xll.VoseSimValue(MortgageOut,736)</f>
        <v>0.11687365895142587</v>
      </c>
    </row>
    <row r="823" spans="2:3" hidden="1" outlineLevel="1" x14ac:dyDescent="0.45">
      <c r="B823" s="46" cm="1">
        <f t="array" aca="1" ref="B823" ca="1">_xll.VoseSimValue(InterestOut,737)</f>
        <v>5.197238930154497E-2</v>
      </c>
      <c r="C823" s="46" cm="1">
        <f t="array" aca="1" ref="C823" ca="1">_xll.VoseSimValue(MortgageOut,737)</f>
        <v>0.10060489140338655</v>
      </c>
    </row>
    <row r="824" spans="2:3" hidden="1" outlineLevel="1" x14ac:dyDescent="0.45">
      <c r="B824" s="46" cm="1">
        <f t="array" aca="1" ref="B824" ca="1">_xll.VoseSimValue(InterestOut,738)</f>
        <v>6.0495647670514074E-2</v>
      </c>
      <c r="C824" s="46" cm="1">
        <f t="array" aca="1" ref="C824" ca="1">_xll.VoseSimValue(MortgageOut,738)</f>
        <v>9.7278758983101232E-2</v>
      </c>
    </row>
    <row r="825" spans="2:3" hidden="1" outlineLevel="1" x14ac:dyDescent="0.45">
      <c r="B825" s="46" cm="1">
        <f t="array" aca="1" ref="B825" ca="1">_xll.VoseSimValue(InterestOut,739)</f>
        <v>4.0825533741618618E-2</v>
      </c>
      <c r="C825" s="46" cm="1">
        <f t="array" aca="1" ref="C825" ca="1">_xll.VoseSimValue(MortgageOut,739)</f>
        <v>9.0082044925047455E-2</v>
      </c>
    </row>
    <row r="826" spans="2:3" hidden="1" outlineLevel="1" x14ac:dyDescent="0.45">
      <c r="B826" s="46" cm="1">
        <f t="array" aca="1" ref="B826" ca="1">_xll.VoseSimValue(InterestOut,740)</f>
        <v>5.0174217318224829E-2</v>
      </c>
      <c r="C826" s="46" cm="1">
        <f t="array" aca="1" ref="C826" ca="1">_xll.VoseSimValue(MortgageOut,740)</f>
        <v>9.3035560387672189E-2</v>
      </c>
    </row>
    <row r="827" spans="2:3" hidden="1" outlineLevel="1" x14ac:dyDescent="0.45">
      <c r="B827" s="46" cm="1">
        <f t="array" aca="1" ref="B827" ca="1">_xll.VoseSimValue(InterestOut,741)</f>
        <v>4.7470318473296177E-2</v>
      </c>
      <c r="C827" s="46" cm="1">
        <f t="array" aca="1" ref="C827" ca="1">_xll.VoseSimValue(MortgageOut,741)</f>
        <v>8.2097132053748467E-2</v>
      </c>
    </row>
    <row r="828" spans="2:3" hidden="1" outlineLevel="1" x14ac:dyDescent="0.45">
      <c r="B828" s="46" cm="1">
        <f t="array" aca="1" ref="B828" ca="1">_xll.VoseSimValue(InterestOut,742)</f>
        <v>6.3839701720312281E-2</v>
      </c>
      <c r="C828" s="46" cm="1">
        <f t="array" aca="1" ref="C828" ca="1">_xll.VoseSimValue(MortgageOut,742)</f>
        <v>0.11101283429869219</v>
      </c>
    </row>
    <row r="829" spans="2:3" hidden="1" outlineLevel="1" x14ac:dyDescent="0.45">
      <c r="B829" s="46" cm="1">
        <f t="array" aca="1" ref="B829" ca="1">_xll.VoseSimValue(InterestOut,743)</f>
        <v>3.5304135121604678E-2</v>
      </c>
      <c r="C829" s="46" cm="1">
        <f t="array" aca="1" ref="C829" ca="1">_xll.VoseSimValue(MortgageOut,743)</f>
        <v>9.0113516785540707E-2</v>
      </c>
    </row>
    <row r="830" spans="2:3" hidden="1" outlineLevel="1" x14ac:dyDescent="0.45">
      <c r="B830" s="46" cm="1">
        <f t="array" aca="1" ref="B830" ca="1">_xll.VoseSimValue(InterestOut,744)</f>
        <v>5.217200454765103E-2</v>
      </c>
      <c r="C830" s="46" cm="1">
        <f t="array" aca="1" ref="C830" ca="1">_xll.VoseSimValue(MortgageOut,744)</f>
        <v>8.7880594609738599E-2</v>
      </c>
    </row>
    <row r="831" spans="2:3" hidden="1" outlineLevel="1" x14ac:dyDescent="0.45">
      <c r="B831" s="46" cm="1">
        <f t="array" aca="1" ref="B831" ca="1">_xll.VoseSimValue(InterestOut,745)</f>
        <v>4.1713486836816638E-2</v>
      </c>
      <c r="C831" s="46" cm="1">
        <f t="array" aca="1" ref="C831" ca="1">_xll.VoseSimValue(MortgageOut,745)</f>
        <v>8.4557144066279802E-2</v>
      </c>
    </row>
    <row r="832" spans="2:3" hidden="1" outlineLevel="1" x14ac:dyDescent="0.45">
      <c r="B832" s="46" cm="1">
        <f t="array" aca="1" ref="B832" ca="1">_xll.VoseSimValue(InterestOut,746)</f>
        <v>5.3337084492920753E-2</v>
      </c>
      <c r="C832" s="46" cm="1">
        <f t="array" aca="1" ref="C832" ca="1">_xll.VoseSimValue(MortgageOut,746)</f>
        <v>0.12931080991158067</v>
      </c>
    </row>
    <row r="833" spans="2:3" hidden="1" outlineLevel="1" x14ac:dyDescent="0.45">
      <c r="B833" s="46" cm="1">
        <f t="array" aca="1" ref="B833" ca="1">_xll.VoseSimValue(InterestOut,747)</f>
        <v>5.8282362835113163E-2</v>
      </c>
      <c r="C833" s="46" cm="1">
        <f t="array" aca="1" ref="C833" ca="1">_xll.VoseSimValue(MortgageOut,747)</f>
        <v>0.1145567843824573</v>
      </c>
    </row>
    <row r="834" spans="2:3" hidden="1" outlineLevel="1" x14ac:dyDescent="0.45">
      <c r="B834" s="46" cm="1">
        <f t="array" aca="1" ref="B834" ca="1">_xll.VoseSimValue(InterestOut,748)</f>
        <v>6.5482002788690707E-2</v>
      </c>
      <c r="C834" s="46" cm="1">
        <f t="array" aca="1" ref="C834" ca="1">_xll.VoseSimValue(MortgageOut,748)</f>
        <v>0.12283718943609681</v>
      </c>
    </row>
    <row r="835" spans="2:3" hidden="1" outlineLevel="1" x14ac:dyDescent="0.45">
      <c r="B835" s="46" cm="1">
        <f t="array" aca="1" ref="B835" ca="1">_xll.VoseSimValue(InterestOut,749)</f>
        <v>3.56419733642932E-2</v>
      </c>
      <c r="C835" s="46" cm="1">
        <f t="array" aca="1" ref="C835" ca="1">_xll.VoseSimValue(MortgageOut,749)</f>
        <v>8.9535375323318483E-2</v>
      </c>
    </row>
    <row r="836" spans="2:3" hidden="1" outlineLevel="1" x14ac:dyDescent="0.45">
      <c r="B836" s="46" cm="1">
        <f t="array" aca="1" ref="B836" ca="1">_xll.VoseSimValue(InterestOut,750)</f>
        <v>4.6343537780886193E-2</v>
      </c>
      <c r="C836" s="46" cm="1">
        <f t="array" aca="1" ref="C836" ca="1">_xll.VoseSimValue(MortgageOut,750)</f>
        <v>9.6920023351057122E-2</v>
      </c>
    </row>
    <row r="837" spans="2:3" hidden="1" outlineLevel="1" x14ac:dyDescent="0.45">
      <c r="B837" s="46" cm="1">
        <f t="array" aca="1" ref="B837" ca="1">_xll.VoseSimValue(InterestOut,751)</f>
        <v>4.776005347348028E-2</v>
      </c>
      <c r="C837" s="46" cm="1">
        <f t="array" aca="1" ref="C837" ca="1">_xll.VoseSimValue(MortgageOut,751)</f>
        <v>0.10588251832813353</v>
      </c>
    </row>
    <row r="838" spans="2:3" hidden="1" outlineLevel="1" x14ac:dyDescent="0.45">
      <c r="B838" s="46" cm="1">
        <f t="array" aca="1" ref="B838" ca="1">_xll.VoseSimValue(InterestOut,752)</f>
        <v>5.7655242804762127E-2</v>
      </c>
      <c r="C838" s="46" cm="1">
        <f t="array" aca="1" ref="C838" ca="1">_xll.VoseSimValue(MortgageOut,752)</f>
        <v>0.10878510127709286</v>
      </c>
    </row>
    <row r="839" spans="2:3" hidden="1" outlineLevel="1" x14ac:dyDescent="0.45">
      <c r="B839" s="46" cm="1">
        <f t="array" aca="1" ref="B839" ca="1">_xll.VoseSimValue(InterestOut,753)</f>
        <v>6.2664360226521859E-2</v>
      </c>
      <c r="C839" s="46" cm="1">
        <f t="array" aca="1" ref="C839" ca="1">_xll.VoseSimValue(MortgageOut,753)</f>
        <v>0.10952883225992179</v>
      </c>
    </row>
    <row r="840" spans="2:3" hidden="1" outlineLevel="1" x14ac:dyDescent="0.45">
      <c r="B840" s="46" cm="1">
        <f t="array" aca="1" ref="B840" ca="1">_xll.VoseSimValue(InterestOut,754)</f>
        <v>6.0352267606079431E-2</v>
      </c>
      <c r="C840" s="46" cm="1">
        <f t="array" aca="1" ref="C840" ca="1">_xll.VoseSimValue(MortgageOut,754)</f>
        <v>0.11433652900703424</v>
      </c>
    </row>
    <row r="841" spans="2:3" hidden="1" outlineLevel="1" x14ac:dyDescent="0.45">
      <c r="B841" s="46" cm="1">
        <f t="array" aca="1" ref="B841" ca="1">_xll.VoseSimValue(InterestOut,755)</f>
        <v>5.6621722884424699E-2</v>
      </c>
      <c r="C841" s="46" cm="1">
        <f t="array" aca="1" ref="C841" ca="1">_xll.VoseSimValue(MortgageOut,755)</f>
        <v>0.10366278471288759</v>
      </c>
    </row>
    <row r="842" spans="2:3" hidden="1" outlineLevel="1" x14ac:dyDescent="0.45">
      <c r="B842" s="46" cm="1">
        <f t="array" aca="1" ref="B842" ca="1">_xll.VoseSimValue(InterestOut,756)</f>
        <v>5.0749091833146513E-2</v>
      </c>
      <c r="C842" s="46" cm="1">
        <f t="array" aca="1" ref="C842" ca="1">_xll.VoseSimValue(MortgageOut,756)</f>
        <v>0.11054948754117017</v>
      </c>
    </row>
    <row r="843" spans="2:3" hidden="1" outlineLevel="1" x14ac:dyDescent="0.45">
      <c r="B843" s="46" cm="1">
        <f t="array" aca="1" ref="B843" ca="1">_xll.VoseSimValue(InterestOut,757)</f>
        <v>5.6569396940383432E-2</v>
      </c>
      <c r="C843" s="46" cm="1">
        <f t="array" aca="1" ref="C843" ca="1">_xll.VoseSimValue(MortgageOut,757)</f>
        <v>0.11747783051623786</v>
      </c>
    </row>
    <row r="844" spans="2:3" hidden="1" outlineLevel="1" x14ac:dyDescent="0.45">
      <c r="B844" s="46" cm="1">
        <f t="array" aca="1" ref="B844" ca="1">_xll.VoseSimValue(InterestOut,758)</f>
        <v>5.094647191311058E-2</v>
      </c>
      <c r="C844" s="46" cm="1">
        <f t="array" aca="1" ref="C844" ca="1">_xll.VoseSimValue(MortgageOut,758)</f>
        <v>0.11374246428068799</v>
      </c>
    </row>
    <row r="845" spans="2:3" hidden="1" outlineLevel="1" x14ac:dyDescent="0.45">
      <c r="B845" s="46" cm="1">
        <f t="array" aca="1" ref="B845" ca="1">_xll.VoseSimValue(InterestOut,759)</f>
        <v>4.2652437870568161E-2</v>
      </c>
      <c r="C845" s="46" cm="1">
        <f t="array" aca="1" ref="C845" ca="1">_xll.VoseSimValue(MortgageOut,759)</f>
        <v>9.1924607431105643E-2</v>
      </c>
    </row>
    <row r="846" spans="2:3" hidden="1" outlineLevel="1" x14ac:dyDescent="0.45">
      <c r="B846" s="46" cm="1">
        <f t="array" aca="1" ref="B846" ca="1">_xll.VoseSimValue(InterestOut,760)</f>
        <v>6.1766515001572549E-2</v>
      </c>
      <c r="C846" s="46" cm="1">
        <f t="array" aca="1" ref="C846" ca="1">_xll.VoseSimValue(MortgageOut,760)</f>
        <v>0.11339348658241619</v>
      </c>
    </row>
    <row r="847" spans="2:3" hidden="1" outlineLevel="1" x14ac:dyDescent="0.45">
      <c r="B847" s="46" cm="1">
        <f t="array" aca="1" ref="B847" ca="1">_xll.VoseSimValue(InterestOut,761)</f>
        <v>4.9748295000198506E-2</v>
      </c>
      <c r="C847" s="46" cm="1">
        <f t="array" aca="1" ref="C847" ca="1">_xll.VoseSimValue(MortgageOut,761)</f>
        <v>9.1965443806455355E-2</v>
      </c>
    </row>
    <row r="848" spans="2:3" hidden="1" outlineLevel="1" x14ac:dyDescent="0.45">
      <c r="B848" s="46" cm="1">
        <f t="array" aca="1" ref="B848" ca="1">_xll.VoseSimValue(InterestOut,762)</f>
        <v>5.2749398729659225E-2</v>
      </c>
      <c r="C848" s="46" cm="1">
        <f t="array" aca="1" ref="C848" ca="1">_xll.VoseSimValue(MortgageOut,762)</f>
        <v>0.10550680378560738</v>
      </c>
    </row>
    <row r="849" spans="2:3" hidden="1" outlineLevel="1" x14ac:dyDescent="0.45">
      <c r="B849" s="46" cm="1">
        <f t="array" aca="1" ref="B849" ca="1">_xll.VoseSimValue(InterestOut,763)</f>
        <v>5.3454046173382813E-2</v>
      </c>
      <c r="C849" s="46" cm="1">
        <f t="array" aca="1" ref="C849" ca="1">_xll.VoseSimValue(MortgageOut,763)</f>
        <v>0.12000125002976306</v>
      </c>
    </row>
    <row r="850" spans="2:3" hidden="1" outlineLevel="1" x14ac:dyDescent="0.45">
      <c r="B850" s="46" cm="1">
        <f t="array" aca="1" ref="B850" ca="1">_xll.VoseSimValue(InterestOut,764)</f>
        <v>4.5104522852845101E-2</v>
      </c>
      <c r="C850" s="46" cm="1">
        <f t="array" aca="1" ref="C850" ca="1">_xll.VoseSimValue(MortgageOut,764)</f>
        <v>9.1800436066570984E-2</v>
      </c>
    </row>
    <row r="851" spans="2:3" hidden="1" outlineLevel="1" x14ac:dyDescent="0.45">
      <c r="B851" s="46" cm="1">
        <f t="array" aca="1" ref="B851" ca="1">_xll.VoseSimValue(InterestOut,765)</f>
        <v>7.2611320076545152E-2</v>
      </c>
      <c r="C851" s="46" cm="1">
        <f t="array" aca="1" ref="C851" ca="1">_xll.VoseSimValue(MortgageOut,765)</f>
        <v>0.10238932089794342</v>
      </c>
    </row>
    <row r="852" spans="2:3" hidden="1" outlineLevel="1" x14ac:dyDescent="0.45">
      <c r="B852" s="46" cm="1">
        <f t="array" aca="1" ref="B852" ca="1">_xll.VoseSimValue(InterestOut,766)</f>
        <v>5.0924607155575959E-2</v>
      </c>
      <c r="C852" s="46" cm="1">
        <f t="array" aca="1" ref="C852" ca="1">_xll.VoseSimValue(MortgageOut,766)</f>
        <v>8.5831654158544005E-2</v>
      </c>
    </row>
    <row r="853" spans="2:3" hidden="1" outlineLevel="1" x14ac:dyDescent="0.45">
      <c r="B853" s="46" cm="1">
        <f t="array" aca="1" ref="B853" ca="1">_xll.VoseSimValue(InterestOut,767)</f>
        <v>4.313753352179435E-2</v>
      </c>
      <c r="C853" s="46" cm="1">
        <f t="array" aca="1" ref="C853" ca="1">_xll.VoseSimValue(MortgageOut,767)</f>
        <v>0.10679767709129884</v>
      </c>
    </row>
    <row r="854" spans="2:3" hidden="1" outlineLevel="1" x14ac:dyDescent="0.45">
      <c r="B854" s="46" cm="1">
        <f t="array" aca="1" ref="B854" ca="1">_xll.VoseSimValue(InterestOut,768)</f>
        <v>4.5274462475975885E-2</v>
      </c>
      <c r="C854" s="46" cm="1">
        <f t="array" aca="1" ref="C854" ca="1">_xll.VoseSimValue(MortgageOut,768)</f>
        <v>8.5448983508958826E-2</v>
      </c>
    </row>
    <row r="855" spans="2:3" hidden="1" outlineLevel="1" x14ac:dyDescent="0.45">
      <c r="B855" s="46" cm="1">
        <f t="array" aca="1" ref="B855" ca="1">_xll.VoseSimValue(InterestOut,769)</f>
        <v>4.4463552395504397E-2</v>
      </c>
      <c r="C855" s="46" cm="1">
        <f t="array" aca="1" ref="C855" ca="1">_xll.VoseSimValue(MortgageOut,769)</f>
        <v>9.1249897303324334E-2</v>
      </c>
    </row>
    <row r="856" spans="2:3" hidden="1" outlineLevel="1" x14ac:dyDescent="0.45">
      <c r="B856" s="46" cm="1">
        <f t="array" aca="1" ref="B856" ca="1">_xll.VoseSimValue(InterestOut,770)</f>
        <v>4.3798475473826384E-2</v>
      </c>
      <c r="C856" s="46" cm="1">
        <f t="array" aca="1" ref="C856" ca="1">_xll.VoseSimValue(MortgageOut,770)</f>
        <v>9.506581663176919E-2</v>
      </c>
    </row>
    <row r="857" spans="2:3" hidden="1" outlineLevel="1" x14ac:dyDescent="0.45">
      <c r="B857" s="46" cm="1">
        <f t="array" aca="1" ref="B857" ca="1">_xll.VoseSimValue(InterestOut,771)</f>
        <v>4.4883297575284059E-2</v>
      </c>
      <c r="C857" s="46" cm="1">
        <f t="array" aca="1" ref="C857" ca="1">_xll.VoseSimValue(MortgageOut,771)</f>
        <v>9.4179004376361453E-2</v>
      </c>
    </row>
    <row r="858" spans="2:3" hidden="1" outlineLevel="1" x14ac:dyDescent="0.45">
      <c r="B858" s="46" cm="1">
        <f t="array" aca="1" ref="B858" ca="1">_xll.VoseSimValue(InterestOut,772)</f>
        <v>5.5272317248569042E-2</v>
      </c>
      <c r="C858" s="46" cm="1">
        <f t="array" aca="1" ref="C858" ca="1">_xll.VoseSimValue(MortgageOut,772)</f>
        <v>0.10492796798019788</v>
      </c>
    </row>
    <row r="859" spans="2:3" hidden="1" outlineLevel="1" x14ac:dyDescent="0.45">
      <c r="B859" s="46" cm="1">
        <f t="array" aca="1" ref="B859" ca="1">_xll.VoseSimValue(InterestOut,773)</f>
        <v>5.843125104662962E-2</v>
      </c>
      <c r="C859" s="46" cm="1">
        <f t="array" aca="1" ref="C859" ca="1">_xll.VoseSimValue(MortgageOut,773)</f>
        <v>0.13096730825327813</v>
      </c>
    </row>
    <row r="860" spans="2:3" hidden="1" outlineLevel="1" x14ac:dyDescent="0.45">
      <c r="B860" s="46" cm="1">
        <f t="array" aca="1" ref="B860" ca="1">_xll.VoseSimValue(InterestOut,774)</f>
        <v>6.5702302819277539E-2</v>
      </c>
      <c r="C860" s="46" cm="1">
        <f t="array" aca="1" ref="C860" ca="1">_xll.VoseSimValue(MortgageOut,774)</f>
        <v>0.12251078490805284</v>
      </c>
    </row>
    <row r="861" spans="2:3" hidden="1" outlineLevel="1" x14ac:dyDescent="0.45">
      <c r="B861" s="46" cm="1">
        <f t="array" aca="1" ref="B861" ca="1">_xll.VoseSimValue(InterestOut,775)</f>
        <v>5.0143398211947202E-2</v>
      </c>
      <c r="C861" s="46" cm="1">
        <f t="array" aca="1" ref="C861" ca="1">_xll.VoseSimValue(MortgageOut,775)</f>
        <v>0.1012961093243951</v>
      </c>
    </row>
    <row r="862" spans="2:3" hidden="1" outlineLevel="1" x14ac:dyDescent="0.45">
      <c r="B862" s="46" cm="1">
        <f t="array" aca="1" ref="B862" ca="1">_xll.VoseSimValue(InterestOut,776)</f>
        <v>4.302971997968507E-2</v>
      </c>
      <c r="C862" s="46" cm="1">
        <f t="array" aca="1" ref="C862" ca="1">_xll.VoseSimValue(MortgageOut,776)</f>
        <v>0.1067642175205997</v>
      </c>
    </row>
    <row r="863" spans="2:3" hidden="1" outlineLevel="1" x14ac:dyDescent="0.45">
      <c r="B863" s="46" cm="1">
        <f t="array" aca="1" ref="B863" ca="1">_xll.VoseSimValue(InterestOut,777)</f>
        <v>3.7363436337426031E-2</v>
      </c>
      <c r="C863" s="46" cm="1">
        <f t="array" aca="1" ref="C863" ca="1">_xll.VoseSimValue(MortgageOut,777)</f>
        <v>9.4066918437297739E-2</v>
      </c>
    </row>
    <row r="864" spans="2:3" hidden="1" outlineLevel="1" x14ac:dyDescent="0.45">
      <c r="B864" s="46" cm="1">
        <f t="array" aca="1" ref="B864" ca="1">_xll.VoseSimValue(InterestOut,778)</f>
        <v>6.3474596319045312E-2</v>
      </c>
      <c r="C864" s="46" cm="1">
        <f t="array" aca="1" ref="C864" ca="1">_xll.VoseSimValue(MortgageOut,778)</f>
        <v>0.12296207209079499</v>
      </c>
    </row>
    <row r="865" spans="2:3" hidden="1" outlineLevel="1" x14ac:dyDescent="0.45">
      <c r="B865" s="46" cm="1">
        <f t="array" aca="1" ref="B865" ca="1">_xll.VoseSimValue(InterestOut,779)</f>
        <v>5.1498207544740632E-2</v>
      </c>
      <c r="C865" s="46" cm="1">
        <f t="array" aca="1" ref="C865" ca="1">_xll.VoseSimValue(MortgageOut,779)</f>
        <v>0.10204745538254398</v>
      </c>
    </row>
    <row r="866" spans="2:3" hidden="1" outlineLevel="1" x14ac:dyDescent="0.45">
      <c r="B866" s="46" cm="1">
        <f t="array" aca="1" ref="B866" ca="1">_xll.VoseSimValue(InterestOut,780)</f>
        <v>5.0374990729549152E-2</v>
      </c>
      <c r="C866" s="46" cm="1">
        <f t="array" aca="1" ref="C866" ca="1">_xll.VoseSimValue(MortgageOut,780)</f>
        <v>8.6809159504234457E-2</v>
      </c>
    </row>
    <row r="867" spans="2:3" hidden="1" outlineLevel="1" x14ac:dyDescent="0.45">
      <c r="B867" s="46" cm="1">
        <f t="array" aca="1" ref="B867" ca="1">_xll.VoseSimValue(InterestOut,781)</f>
        <v>4.3388045938818454E-2</v>
      </c>
      <c r="C867" s="46" cm="1">
        <f t="array" aca="1" ref="C867" ca="1">_xll.VoseSimValue(MortgageOut,781)</f>
        <v>0.10835600798446281</v>
      </c>
    </row>
    <row r="868" spans="2:3" hidden="1" outlineLevel="1" x14ac:dyDescent="0.45">
      <c r="B868" s="46" cm="1">
        <f t="array" aca="1" ref="B868" ca="1">_xll.VoseSimValue(InterestOut,782)</f>
        <v>5.7618611633487332E-2</v>
      </c>
      <c r="C868" s="46" cm="1">
        <f t="array" aca="1" ref="C868" ca="1">_xll.VoseSimValue(MortgageOut,782)</f>
        <v>9.9697184061348781E-2</v>
      </c>
    </row>
    <row r="869" spans="2:3" hidden="1" outlineLevel="1" x14ac:dyDescent="0.45">
      <c r="B869" s="46" cm="1">
        <f t="array" aca="1" ref="B869" ca="1">_xll.VoseSimValue(InterestOut,783)</f>
        <v>6.0108041630091959E-2</v>
      </c>
      <c r="C869" s="46" cm="1">
        <f t="array" aca="1" ref="C869" ca="1">_xll.VoseSimValue(MortgageOut,783)</f>
        <v>0.1200412154860227</v>
      </c>
    </row>
    <row r="870" spans="2:3" hidden="1" outlineLevel="1" x14ac:dyDescent="0.45">
      <c r="B870" s="46" cm="1">
        <f t="array" aca="1" ref="B870" ca="1">_xll.VoseSimValue(InterestOut,784)</f>
        <v>4.6032408118125485E-2</v>
      </c>
      <c r="C870" s="46" cm="1">
        <f t="array" aca="1" ref="C870" ca="1">_xll.VoseSimValue(MortgageOut,784)</f>
        <v>8.7028753682718007E-2</v>
      </c>
    </row>
    <row r="871" spans="2:3" hidden="1" outlineLevel="1" x14ac:dyDescent="0.45">
      <c r="B871" s="46" cm="1">
        <f t="array" aca="1" ref="B871" ca="1">_xll.VoseSimValue(InterestOut,785)</f>
        <v>4.5878514035238294E-2</v>
      </c>
      <c r="C871" s="46" cm="1">
        <f t="array" aca="1" ref="C871" ca="1">_xll.VoseSimValue(MortgageOut,785)</f>
        <v>9.7874695273418119E-2</v>
      </c>
    </row>
    <row r="872" spans="2:3" hidden="1" outlineLevel="1" x14ac:dyDescent="0.45">
      <c r="B872" s="46" cm="1">
        <f t="array" aca="1" ref="B872" ca="1">_xll.VoseSimValue(InterestOut,786)</f>
        <v>5.0984151325006583E-2</v>
      </c>
      <c r="C872" s="46" cm="1">
        <f t="array" aca="1" ref="C872" ca="1">_xll.VoseSimValue(MortgageOut,786)</f>
        <v>0.10994551222019244</v>
      </c>
    </row>
    <row r="873" spans="2:3" hidden="1" outlineLevel="1" x14ac:dyDescent="0.45">
      <c r="B873" s="46" cm="1">
        <f t="array" aca="1" ref="B873" ca="1">_xll.VoseSimValue(InterestOut,787)</f>
        <v>3.5419298498538698E-2</v>
      </c>
      <c r="C873" s="46" cm="1">
        <f t="array" aca="1" ref="C873" ca="1">_xll.VoseSimValue(MortgageOut,787)</f>
        <v>7.4767276161991275E-2</v>
      </c>
    </row>
    <row r="874" spans="2:3" hidden="1" outlineLevel="1" x14ac:dyDescent="0.45">
      <c r="B874" s="46" cm="1">
        <f t="array" aca="1" ref="B874" ca="1">_xll.VoseSimValue(InterestOut,788)</f>
        <v>4.31302683883358E-2</v>
      </c>
      <c r="C874" s="46" cm="1">
        <f t="array" aca="1" ref="C874" ca="1">_xll.VoseSimValue(MortgageOut,788)</f>
        <v>9.2100102911412324E-2</v>
      </c>
    </row>
    <row r="875" spans="2:3" hidden="1" outlineLevel="1" x14ac:dyDescent="0.45">
      <c r="B875" s="46" cm="1">
        <f t="array" aca="1" ref="B875" ca="1">_xll.VoseSimValue(InterestOut,789)</f>
        <v>5.3778274508441373E-2</v>
      </c>
      <c r="C875" s="46" cm="1">
        <f t="array" aca="1" ref="C875" ca="1">_xll.VoseSimValue(MortgageOut,789)</f>
        <v>0.10300332991391281</v>
      </c>
    </row>
    <row r="876" spans="2:3" hidden="1" outlineLevel="1" x14ac:dyDescent="0.45">
      <c r="B876" s="46" cm="1">
        <f t="array" aca="1" ref="B876" ca="1">_xll.VoseSimValue(InterestOut,790)</f>
        <v>3.8935750058840465E-2</v>
      </c>
      <c r="C876" s="46" cm="1">
        <f t="array" aca="1" ref="C876" ca="1">_xll.VoseSimValue(MortgageOut,790)</f>
        <v>9.2106118799398048E-2</v>
      </c>
    </row>
    <row r="877" spans="2:3" hidden="1" outlineLevel="1" x14ac:dyDescent="0.45">
      <c r="B877" s="46" cm="1">
        <f t="array" aca="1" ref="B877" ca="1">_xll.VoseSimValue(InterestOut,791)</f>
        <v>6.1867324311140399E-2</v>
      </c>
      <c r="C877" s="46" cm="1">
        <f t="array" aca="1" ref="C877" ca="1">_xll.VoseSimValue(MortgageOut,791)</f>
        <v>0.11488823407295409</v>
      </c>
    </row>
    <row r="878" spans="2:3" hidden="1" outlineLevel="1" x14ac:dyDescent="0.45">
      <c r="B878" s="46" cm="1">
        <f t="array" aca="1" ref="B878" ca="1">_xll.VoseSimValue(InterestOut,792)</f>
        <v>4.1894214261999477E-2</v>
      </c>
      <c r="C878" s="46" cm="1">
        <f t="array" aca="1" ref="C878" ca="1">_xll.VoseSimValue(MortgageOut,792)</f>
        <v>0.10736065428030125</v>
      </c>
    </row>
    <row r="879" spans="2:3" hidden="1" outlineLevel="1" x14ac:dyDescent="0.45">
      <c r="B879" s="46" cm="1">
        <f t="array" aca="1" ref="B879" ca="1">_xll.VoseSimValue(InterestOut,793)</f>
        <v>4.8144960049407479E-2</v>
      </c>
      <c r="C879" s="46" cm="1">
        <f t="array" aca="1" ref="C879" ca="1">_xll.VoseSimValue(MortgageOut,793)</f>
        <v>9.4844361957953371E-2</v>
      </c>
    </row>
    <row r="880" spans="2:3" hidden="1" outlineLevel="1" x14ac:dyDescent="0.45">
      <c r="B880" s="46" cm="1">
        <f t="array" aca="1" ref="B880" ca="1">_xll.VoseSimValue(InterestOut,794)</f>
        <v>5.1352540091343692E-2</v>
      </c>
      <c r="C880" s="46" cm="1">
        <f t="array" aca="1" ref="C880" ca="1">_xll.VoseSimValue(MortgageOut,794)</f>
        <v>0.11198437541540911</v>
      </c>
    </row>
    <row r="881" spans="2:3" hidden="1" outlineLevel="1" x14ac:dyDescent="0.45">
      <c r="B881" s="46" cm="1">
        <f t="array" aca="1" ref="B881" ca="1">_xll.VoseSimValue(InterestOut,795)</f>
        <v>5.8420900252282415E-2</v>
      </c>
      <c r="C881" s="46" cm="1">
        <f t="array" aca="1" ref="C881" ca="1">_xll.VoseSimValue(MortgageOut,795)</f>
        <v>0.11269617264786837</v>
      </c>
    </row>
    <row r="882" spans="2:3" hidden="1" outlineLevel="1" x14ac:dyDescent="0.45">
      <c r="B882" s="46" cm="1">
        <f t="array" aca="1" ref="B882" ca="1">_xll.VoseSimValue(InterestOut,796)</f>
        <v>5.9710734841776969E-2</v>
      </c>
      <c r="C882" s="46" cm="1">
        <f t="array" aca="1" ref="C882" ca="1">_xll.VoseSimValue(MortgageOut,796)</f>
        <v>0.11215769082280133</v>
      </c>
    </row>
    <row r="883" spans="2:3" hidden="1" outlineLevel="1" x14ac:dyDescent="0.45">
      <c r="B883" s="46" cm="1">
        <f t="array" aca="1" ref="B883" ca="1">_xll.VoseSimValue(InterestOut,797)</f>
        <v>5.1567560276733128E-2</v>
      </c>
      <c r="C883" s="46" cm="1">
        <f t="array" aca="1" ref="C883" ca="1">_xll.VoseSimValue(MortgageOut,797)</f>
        <v>9.589852090877192E-2</v>
      </c>
    </row>
    <row r="884" spans="2:3" hidden="1" outlineLevel="1" x14ac:dyDescent="0.45">
      <c r="B884" s="46" cm="1">
        <f t="array" aca="1" ref="B884" ca="1">_xll.VoseSimValue(InterestOut,798)</f>
        <v>6.4688943196906434E-2</v>
      </c>
      <c r="C884" s="46" cm="1">
        <f t="array" aca="1" ref="C884" ca="1">_xll.VoseSimValue(MortgageOut,798)</f>
        <v>9.9645821377953983E-2</v>
      </c>
    </row>
    <row r="885" spans="2:3" hidden="1" outlineLevel="1" x14ac:dyDescent="0.45">
      <c r="B885" s="46" cm="1">
        <f t="array" aca="1" ref="B885" ca="1">_xll.VoseSimValue(InterestOut,799)</f>
        <v>5.2359075820851947E-2</v>
      </c>
      <c r="C885" s="46" cm="1">
        <f t="array" aca="1" ref="C885" ca="1">_xll.VoseSimValue(MortgageOut,799)</f>
        <v>0.10523498042928923</v>
      </c>
    </row>
    <row r="886" spans="2:3" hidden="1" outlineLevel="1" x14ac:dyDescent="0.45">
      <c r="B886" s="46" cm="1">
        <f t="array" aca="1" ref="B886" ca="1">_xll.VoseSimValue(InterestOut,800)</f>
        <v>4.3620269141062193E-2</v>
      </c>
      <c r="C886" s="46" cm="1">
        <f t="array" aca="1" ref="C886" ca="1">_xll.VoseSimValue(MortgageOut,800)</f>
        <v>9.6188424309396239E-2</v>
      </c>
    </row>
    <row r="887" spans="2:3" hidden="1" outlineLevel="1" x14ac:dyDescent="0.45">
      <c r="B887" s="46" cm="1">
        <f t="array" aca="1" ref="B887" ca="1">_xll.VoseSimValue(InterestOut,801)</f>
        <v>6.8537664348310157E-2</v>
      </c>
      <c r="C887" s="46" cm="1">
        <f t="array" aca="1" ref="C887" ca="1">_xll.VoseSimValue(MortgageOut,801)</f>
        <v>0.1225088198667012</v>
      </c>
    </row>
    <row r="888" spans="2:3" hidden="1" outlineLevel="1" x14ac:dyDescent="0.45">
      <c r="B888" s="46" cm="1">
        <f t="array" aca="1" ref="B888" ca="1">_xll.VoseSimValue(InterestOut,802)</f>
        <v>5.8038525440393736E-2</v>
      </c>
      <c r="C888" s="46" cm="1">
        <f t="array" aca="1" ref="C888" ca="1">_xll.VoseSimValue(MortgageOut,802)</f>
        <v>0.11618916538401582</v>
      </c>
    </row>
    <row r="889" spans="2:3" hidden="1" outlineLevel="1" x14ac:dyDescent="0.45">
      <c r="B889" s="46" cm="1">
        <f t="array" aca="1" ref="B889" ca="1">_xll.VoseSimValue(InterestOut,803)</f>
        <v>6.0304995355410132E-2</v>
      </c>
      <c r="C889" s="46" cm="1">
        <f t="array" aca="1" ref="C889" ca="1">_xll.VoseSimValue(MortgageOut,803)</f>
        <v>0.1187749241332763</v>
      </c>
    </row>
    <row r="890" spans="2:3" hidden="1" outlineLevel="1" x14ac:dyDescent="0.45">
      <c r="B890" s="46" cm="1">
        <f t="array" aca="1" ref="B890" ca="1">_xll.VoseSimValue(InterestOut,804)</f>
        <v>4.4757023257447688E-2</v>
      </c>
      <c r="C890" s="46" cm="1">
        <f t="array" aca="1" ref="C890" ca="1">_xll.VoseSimValue(MortgageOut,804)</f>
        <v>8.425587026021028E-2</v>
      </c>
    </row>
    <row r="891" spans="2:3" hidden="1" outlineLevel="1" x14ac:dyDescent="0.45">
      <c r="B891" s="46" cm="1">
        <f t="array" aca="1" ref="B891" ca="1">_xll.VoseSimValue(InterestOut,805)</f>
        <v>3.5788887167192501E-2</v>
      </c>
      <c r="C891" s="46" cm="1">
        <f t="array" aca="1" ref="C891" ca="1">_xll.VoseSimValue(MortgageOut,805)</f>
        <v>9.2906627266646405E-2</v>
      </c>
    </row>
    <row r="892" spans="2:3" hidden="1" outlineLevel="1" x14ac:dyDescent="0.45">
      <c r="B892" s="46" cm="1">
        <f t="array" aca="1" ref="B892" ca="1">_xll.VoseSimValue(InterestOut,806)</f>
        <v>5.2983139016600872E-2</v>
      </c>
      <c r="C892" s="46" cm="1">
        <f t="array" aca="1" ref="C892" ca="1">_xll.VoseSimValue(MortgageOut,806)</f>
        <v>9.8869404745639711E-2</v>
      </c>
    </row>
    <row r="893" spans="2:3" hidden="1" outlineLevel="1" x14ac:dyDescent="0.45">
      <c r="B893" s="46" cm="1">
        <f t="array" aca="1" ref="B893" ca="1">_xll.VoseSimValue(InterestOut,807)</f>
        <v>5.7131697527410361E-2</v>
      </c>
      <c r="C893" s="46" cm="1">
        <f t="array" aca="1" ref="C893" ca="1">_xll.VoseSimValue(MortgageOut,807)</f>
        <v>0.11723704067901949</v>
      </c>
    </row>
    <row r="894" spans="2:3" hidden="1" outlineLevel="1" x14ac:dyDescent="0.45">
      <c r="B894" s="46" cm="1">
        <f t="array" aca="1" ref="B894" ca="1">_xll.VoseSimValue(InterestOut,808)</f>
        <v>4.071437906896487E-2</v>
      </c>
      <c r="C894" s="46" cm="1">
        <f t="array" aca="1" ref="C894" ca="1">_xll.VoseSimValue(MortgageOut,808)</f>
        <v>8.2976610256562958E-2</v>
      </c>
    </row>
    <row r="895" spans="2:3" hidden="1" outlineLevel="1" x14ac:dyDescent="0.45">
      <c r="B895" s="46" cm="1">
        <f t="array" aca="1" ref="B895" ca="1">_xll.VoseSimValue(InterestOut,809)</f>
        <v>5.0353846615316472E-2</v>
      </c>
      <c r="C895" s="46" cm="1">
        <f t="array" aca="1" ref="C895" ca="1">_xll.VoseSimValue(MortgageOut,809)</f>
        <v>0.10117208463860006</v>
      </c>
    </row>
    <row r="896" spans="2:3" hidden="1" outlineLevel="1" x14ac:dyDescent="0.45">
      <c r="B896" s="46" cm="1">
        <f t="array" aca="1" ref="B896" ca="1">_xll.VoseSimValue(InterestOut,810)</f>
        <v>4.7907761355369449E-2</v>
      </c>
      <c r="C896" s="46" cm="1">
        <f t="array" aca="1" ref="C896" ca="1">_xll.VoseSimValue(MortgageOut,810)</f>
        <v>0.10182024619089466</v>
      </c>
    </row>
    <row r="897" spans="2:3" hidden="1" outlineLevel="1" x14ac:dyDescent="0.45">
      <c r="B897" s="46" cm="1">
        <f t="array" aca="1" ref="B897" ca="1">_xll.VoseSimValue(InterestOut,811)</f>
        <v>6.7526812521062712E-2</v>
      </c>
      <c r="C897" s="46" cm="1">
        <f t="array" aca="1" ref="C897" ca="1">_xll.VoseSimValue(MortgageOut,811)</f>
        <v>0.11935319583135681</v>
      </c>
    </row>
    <row r="898" spans="2:3" hidden="1" outlineLevel="1" x14ac:dyDescent="0.45">
      <c r="B898" s="46" cm="1">
        <f t="array" aca="1" ref="B898" ca="1">_xll.VoseSimValue(InterestOut,812)</f>
        <v>3.8673570806693966E-2</v>
      </c>
      <c r="C898" s="46" cm="1">
        <f t="array" aca="1" ref="C898" ca="1">_xll.VoseSimValue(MortgageOut,812)</f>
        <v>0.10482259684710432</v>
      </c>
    </row>
    <row r="899" spans="2:3" hidden="1" outlineLevel="1" x14ac:dyDescent="0.45">
      <c r="B899" s="46" cm="1">
        <f t="array" aca="1" ref="B899" ca="1">_xll.VoseSimValue(InterestOut,813)</f>
        <v>4.3678425941621996E-2</v>
      </c>
      <c r="C899" s="46" cm="1">
        <f t="array" aca="1" ref="C899" ca="1">_xll.VoseSimValue(MortgageOut,813)</f>
        <v>0.10692293130552356</v>
      </c>
    </row>
    <row r="900" spans="2:3" hidden="1" outlineLevel="1" x14ac:dyDescent="0.45">
      <c r="B900" s="46" cm="1">
        <f t="array" aca="1" ref="B900" ca="1">_xll.VoseSimValue(InterestOut,814)</f>
        <v>5.1424553046517149E-2</v>
      </c>
      <c r="C900" s="46" cm="1">
        <f t="array" aca="1" ref="C900" ca="1">_xll.VoseSimValue(MortgageOut,814)</f>
        <v>0.10580804123819369</v>
      </c>
    </row>
    <row r="901" spans="2:3" hidden="1" outlineLevel="1" x14ac:dyDescent="0.45">
      <c r="B901" s="46" cm="1">
        <f t="array" aca="1" ref="B901" ca="1">_xll.VoseSimValue(InterestOut,815)</f>
        <v>4.5024112350904845E-2</v>
      </c>
      <c r="C901" s="46" cm="1">
        <f t="array" aca="1" ref="C901" ca="1">_xll.VoseSimValue(MortgageOut,815)</f>
        <v>9.3816349012113415E-2</v>
      </c>
    </row>
    <row r="902" spans="2:3" hidden="1" outlineLevel="1" x14ac:dyDescent="0.45">
      <c r="B902" s="46" cm="1">
        <f t="array" aca="1" ref="B902" ca="1">_xll.VoseSimValue(InterestOut,816)</f>
        <v>5.6673970581846651E-2</v>
      </c>
      <c r="C902" s="46" cm="1">
        <f t="array" aca="1" ref="C902" ca="1">_xll.VoseSimValue(MortgageOut,816)</f>
        <v>0.11620950215709233</v>
      </c>
    </row>
    <row r="903" spans="2:3" hidden="1" outlineLevel="1" x14ac:dyDescent="0.45">
      <c r="B903" s="46" cm="1">
        <f t="array" aca="1" ref="B903" ca="1">_xll.VoseSimValue(InterestOut,817)</f>
        <v>3.860940039171027E-2</v>
      </c>
      <c r="C903" s="46" cm="1">
        <f t="array" aca="1" ref="C903" ca="1">_xll.VoseSimValue(MortgageOut,817)</f>
        <v>9.6203631571657289E-2</v>
      </c>
    </row>
    <row r="904" spans="2:3" hidden="1" outlineLevel="1" x14ac:dyDescent="0.45">
      <c r="B904" s="46" cm="1">
        <f t="array" aca="1" ref="B904" ca="1">_xll.VoseSimValue(InterestOut,818)</f>
        <v>5.014346572205805E-2</v>
      </c>
      <c r="C904" s="46" cm="1">
        <f t="array" aca="1" ref="C904" ca="1">_xll.VoseSimValue(MortgageOut,818)</f>
        <v>0.11052217240359515</v>
      </c>
    </row>
    <row r="905" spans="2:3" hidden="1" outlineLevel="1" x14ac:dyDescent="0.45">
      <c r="B905" s="46" cm="1">
        <f t="array" aca="1" ref="B905" ca="1">_xll.VoseSimValue(InterestOut,819)</f>
        <v>4.9399798178151225E-2</v>
      </c>
      <c r="C905" s="46" cm="1">
        <f t="array" aca="1" ref="C905" ca="1">_xll.VoseSimValue(MortgageOut,819)</f>
        <v>0.12293837409091202</v>
      </c>
    </row>
    <row r="906" spans="2:3" hidden="1" outlineLevel="1" x14ac:dyDescent="0.45">
      <c r="B906" s="46" cm="1">
        <f t="array" aca="1" ref="B906" ca="1">_xll.VoseSimValue(InterestOut,820)</f>
        <v>4.7619386670309474E-2</v>
      </c>
      <c r="C906" s="46" cm="1">
        <f t="array" aca="1" ref="C906" ca="1">_xll.VoseSimValue(MortgageOut,820)</f>
        <v>9.5269782353424912E-2</v>
      </c>
    </row>
    <row r="907" spans="2:3" hidden="1" outlineLevel="1" x14ac:dyDescent="0.45">
      <c r="B907" s="46" cm="1">
        <f t="array" aca="1" ref="B907" ca="1">_xll.VoseSimValue(InterestOut,821)</f>
        <v>3.9804782669215312E-2</v>
      </c>
      <c r="C907" s="46" cm="1">
        <f t="array" aca="1" ref="C907" ca="1">_xll.VoseSimValue(MortgageOut,821)</f>
        <v>0.10436417234485275</v>
      </c>
    </row>
    <row r="908" spans="2:3" hidden="1" outlineLevel="1" x14ac:dyDescent="0.45">
      <c r="B908" s="46" cm="1">
        <f t="array" aca="1" ref="B908" ca="1">_xll.VoseSimValue(InterestOut,822)</f>
        <v>6.0758064837264911E-2</v>
      </c>
      <c r="C908" s="46" cm="1">
        <f t="array" aca="1" ref="C908" ca="1">_xll.VoseSimValue(MortgageOut,822)</f>
        <v>9.838937329712108E-2</v>
      </c>
    </row>
    <row r="909" spans="2:3" hidden="1" outlineLevel="1" x14ac:dyDescent="0.45">
      <c r="B909" s="46" cm="1">
        <f t="array" aca="1" ref="B909" ca="1">_xll.VoseSimValue(InterestOut,823)</f>
        <v>5.4902822576156723E-2</v>
      </c>
      <c r="C909" s="46" cm="1">
        <f t="array" aca="1" ref="C909" ca="1">_xll.VoseSimValue(MortgageOut,823)</f>
        <v>0.1094597580194034</v>
      </c>
    </row>
    <row r="910" spans="2:3" hidden="1" outlineLevel="1" x14ac:dyDescent="0.45">
      <c r="B910" s="46" cm="1">
        <f t="array" aca="1" ref="B910" ca="1">_xll.VoseSimValue(InterestOut,824)</f>
        <v>3.6708548962105618E-2</v>
      </c>
      <c r="C910" s="46" cm="1">
        <f t="array" aca="1" ref="C910" ca="1">_xll.VoseSimValue(MortgageOut,824)</f>
        <v>8.865614149160872E-2</v>
      </c>
    </row>
    <row r="911" spans="2:3" hidden="1" outlineLevel="1" x14ac:dyDescent="0.45">
      <c r="B911" s="46" cm="1">
        <f t="array" aca="1" ref="B911" ca="1">_xll.VoseSimValue(InterestOut,825)</f>
        <v>6.0268111590792213E-2</v>
      </c>
      <c r="C911" s="46" cm="1">
        <f t="array" aca="1" ref="C911" ca="1">_xll.VoseSimValue(MortgageOut,825)</f>
        <v>0.10765641605312623</v>
      </c>
    </row>
    <row r="912" spans="2:3" hidden="1" outlineLevel="1" x14ac:dyDescent="0.45">
      <c r="B912" s="46" cm="1">
        <f t="array" aca="1" ref="B912" ca="1">_xll.VoseSimValue(InterestOut,826)</f>
        <v>4.8325433230340185E-2</v>
      </c>
      <c r="C912" s="46" cm="1">
        <f t="array" aca="1" ref="C912" ca="1">_xll.VoseSimValue(MortgageOut,826)</f>
        <v>8.9779814496472404E-2</v>
      </c>
    </row>
    <row r="913" spans="2:3" hidden="1" outlineLevel="1" x14ac:dyDescent="0.45">
      <c r="B913" s="46" cm="1">
        <f t="array" aca="1" ref="B913" ca="1">_xll.VoseSimValue(InterestOut,827)</f>
        <v>5.6746491294205573E-2</v>
      </c>
      <c r="C913" s="46" cm="1">
        <f t="array" aca="1" ref="C913" ca="1">_xll.VoseSimValue(MortgageOut,827)</f>
        <v>0.11351153142404199</v>
      </c>
    </row>
    <row r="914" spans="2:3" hidden="1" outlineLevel="1" x14ac:dyDescent="0.45">
      <c r="B914" s="46" cm="1">
        <f t="array" aca="1" ref="B914" ca="1">_xll.VoseSimValue(InterestOut,828)</f>
        <v>5.0183978066743018E-2</v>
      </c>
      <c r="C914" s="46" cm="1">
        <f t="array" aca="1" ref="C914" ca="1">_xll.VoseSimValue(MortgageOut,828)</f>
        <v>8.9525247599476485E-2</v>
      </c>
    </row>
    <row r="915" spans="2:3" hidden="1" outlineLevel="1" x14ac:dyDescent="0.45">
      <c r="B915" s="46" cm="1">
        <f t="array" aca="1" ref="B915" ca="1">_xll.VoseSimValue(InterestOut,829)</f>
        <v>5.8967971778295908E-2</v>
      </c>
      <c r="C915" s="46" cm="1">
        <f t="array" aca="1" ref="C915" ca="1">_xll.VoseSimValue(MortgageOut,829)</f>
        <v>0.11772518404261711</v>
      </c>
    </row>
    <row r="916" spans="2:3" hidden="1" outlineLevel="1" x14ac:dyDescent="0.45">
      <c r="B916" s="46" cm="1">
        <f t="array" aca="1" ref="B916" ca="1">_xll.VoseSimValue(InterestOut,830)</f>
        <v>5.7961254413126669E-2</v>
      </c>
      <c r="C916" s="46" cm="1">
        <f t="array" aca="1" ref="C916" ca="1">_xll.VoseSimValue(MortgageOut,830)</f>
        <v>0.10087009183380027</v>
      </c>
    </row>
    <row r="917" spans="2:3" hidden="1" outlineLevel="1" x14ac:dyDescent="0.45">
      <c r="B917" s="46" cm="1">
        <f t="array" aca="1" ref="B917" ca="1">_xll.VoseSimValue(InterestOut,831)</f>
        <v>4.711400964969846E-2</v>
      </c>
      <c r="C917" s="46" cm="1">
        <f t="array" aca="1" ref="C917" ca="1">_xll.VoseSimValue(MortgageOut,831)</f>
        <v>0.10045398464087421</v>
      </c>
    </row>
    <row r="918" spans="2:3" hidden="1" outlineLevel="1" x14ac:dyDescent="0.45">
      <c r="B918" s="46" cm="1">
        <f t="array" aca="1" ref="B918" ca="1">_xll.VoseSimValue(InterestOut,832)</f>
        <v>6.5024509331884417E-2</v>
      </c>
      <c r="C918" s="46" cm="1">
        <f t="array" aca="1" ref="C918" ca="1">_xll.VoseSimValue(MortgageOut,832)</f>
        <v>0.12118464331061618</v>
      </c>
    </row>
    <row r="919" spans="2:3" hidden="1" outlineLevel="1" x14ac:dyDescent="0.45">
      <c r="B919" s="46" cm="1">
        <f t="array" aca="1" ref="B919" ca="1">_xll.VoseSimValue(InterestOut,833)</f>
        <v>6.1951376288106028E-2</v>
      </c>
      <c r="C919" s="46" cm="1">
        <f t="array" aca="1" ref="C919" ca="1">_xll.VoseSimValue(MortgageOut,833)</f>
        <v>0.11045317826926591</v>
      </c>
    </row>
    <row r="920" spans="2:3" hidden="1" outlineLevel="1" x14ac:dyDescent="0.45">
      <c r="B920" s="46" cm="1">
        <f t="array" aca="1" ref="B920" ca="1">_xll.VoseSimValue(InterestOut,834)</f>
        <v>4.5318725616729311E-2</v>
      </c>
      <c r="C920" s="46" cm="1">
        <f t="array" aca="1" ref="C920" ca="1">_xll.VoseSimValue(MortgageOut,834)</f>
        <v>9.9175852958368241E-2</v>
      </c>
    </row>
    <row r="921" spans="2:3" hidden="1" outlineLevel="1" x14ac:dyDescent="0.45">
      <c r="B921" s="46" cm="1">
        <f t="array" aca="1" ref="B921" ca="1">_xll.VoseSimValue(InterestOut,835)</f>
        <v>4.9403733632844851E-2</v>
      </c>
      <c r="C921" s="46" cm="1">
        <f t="array" aca="1" ref="C921" ca="1">_xll.VoseSimValue(MortgageOut,835)</f>
        <v>0.10102150191562401</v>
      </c>
    </row>
    <row r="922" spans="2:3" hidden="1" outlineLevel="1" x14ac:dyDescent="0.45">
      <c r="B922" s="46" cm="1">
        <f t="array" aca="1" ref="B922" ca="1">_xll.VoseSimValue(InterestOut,836)</f>
        <v>6.0825540886039989E-2</v>
      </c>
      <c r="C922" s="46" cm="1">
        <f t="array" aca="1" ref="C922" ca="1">_xll.VoseSimValue(MortgageOut,836)</f>
        <v>0.11939522307633652</v>
      </c>
    </row>
    <row r="923" spans="2:3" hidden="1" outlineLevel="1" x14ac:dyDescent="0.45">
      <c r="B923" s="46" cm="1">
        <f t="array" aca="1" ref="B923" ca="1">_xll.VoseSimValue(InterestOut,837)</f>
        <v>6.1067451590920925E-2</v>
      </c>
      <c r="C923" s="46" cm="1">
        <f t="array" aca="1" ref="C923" ca="1">_xll.VoseSimValue(MortgageOut,837)</f>
        <v>9.9176976756882224E-2</v>
      </c>
    </row>
    <row r="924" spans="2:3" hidden="1" outlineLevel="1" x14ac:dyDescent="0.45">
      <c r="B924" s="46" cm="1">
        <f t="array" aca="1" ref="B924" ca="1">_xll.VoseSimValue(InterestOut,838)</f>
        <v>5.5547745712475158E-2</v>
      </c>
      <c r="C924" s="46" cm="1">
        <f t="array" aca="1" ref="C924" ca="1">_xll.VoseSimValue(MortgageOut,838)</f>
        <v>0.1145486337506216</v>
      </c>
    </row>
    <row r="925" spans="2:3" hidden="1" outlineLevel="1" x14ac:dyDescent="0.45">
      <c r="B925" s="46" cm="1">
        <f t="array" aca="1" ref="B925" ca="1">_xll.VoseSimValue(InterestOut,839)</f>
        <v>5.4696965775604796E-2</v>
      </c>
      <c r="C925" s="46" cm="1">
        <f t="array" aca="1" ref="C925" ca="1">_xll.VoseSimValue(MortgageOut,839)</f>
        <v>0.10172725244742863</v>
      </c>
    </row>
    <row r="926" spans="2:3" hidden="1" outlineLevel="1" x14ac:dyDescent="0.45">
      <c r="B926" s="46" cm="1">
        <f t="array" aca="1" ref="B926" ca="1">_xll.VoseSimValue(InterestOut,840)</f>
        <v>3.3751446975245777E-2</v>
      </c>
      <c r="C926" s="46" cm="1">
        <f t="array" aca="1" ref="C926" ca="1">_xll.VoseSimValue(MortgageOut,840)</f>
        <v>9.0774692940112256E-2</v>
      </c>
    </row>
    <row r="927" spans="2:3" hidden="1" outlineLevel="1" x14ac:dyDescent="0.45">
      <c r="B927" s="46" cm="1">
        <f t="array" aca="1" ref="B927" ca="1">_xll.VoseSimValue(InterestOut,841)</f>
        <v>4.1116866963804996E-2</v>
      </c>
      <c r="C927" s="46" cm="1">
        <f t="array" aca="1" ref="C927" ca="1">_xll.VoseSimValue(MortgageOut,841)</f>
        <v>8.3040851784177458E-2</v>
      </c>
    </row>
    <row r="928" spans="2:3" hidden="1" outlineLevel="1" x14ac:dyDescent="0.45">
      <c r="B928" s="46" cm="1">
        <f t="array" aca="1" ref="B928" ca="1">_xll.VoseSimValue(InterestOut,842)</f>
        <v>5.794909298893694E-2</v>
      </c>
      <c r="C928" s="46" cm="1">
        <f t="array" aca="1" ref="C928" ca="1">_xll.VoseSimValue(MortgageOut,842)</f>
        <v>0.10352170317853698</v>
      </c>
    </row>
    <row r="929" spans="2:3" hidden="1" outlineLevel="1" x14ac:dyDescent="0.45">
      <c r="B929" s="46" cm="1">
        <f t="array" aca="1" ref="B929" ca="1">_xll.VoseSimValue(InterestOut,843)</f>
        <v>3.8464064651583189E-2</v>
      </c>
      <c r="C929" s="46" cm="1">
        <f t="array" aca="1" ref="C929" ca="1">_xll.VoseSimValue(MortgageOut,843)</f>
        <v>9.411220563459588E-2</v>
      </c>
    </row>
    <row r="930" spans="2:3" hidden="1" outlineLevel="1" x14ac:dyDescent="0.45">
      <c r="B930" s="46" cm="1">
        <f t="array" aca="1" ref="B930" ca="1">_xll.VoseSimValue(InterestOut,844)</f>
        <v>5.4055474474291626E-2</v>
      </c>
      <c r="C930" s="46" cm="1">
        <f t="array" aca="1" ref="C930" ca="1">_xll.VoseSimValue(MortgageOut,844)</f>
        <v>0.10567743822047201</v>
      </c>
    </row>
    <row r="931" spans="2:3" hidden="1" outlineLevel="1" x14ac:dyDescent="0.45">
      <c r="B931" s="46" cm="1">
        <f t="array" aca="1" ref="B931" ca="1">_xll.VoseSimValue(InterestOut,845)</f>
        <v>3.4574527076652095E-2</v>
      </c>
      <c r="C931" s="46" cm="1">
        <f t="array" aca="1" ref="C931" ca="1">_xll.VoseSimValue(MortgageOut,845)</f>
        <v>9.9398358353073701E-2</v>
      </c>
    </row>
    <row r="932" spans="2:3" hidden="1" outlineLevel="1" x14ac:dyDescent="0.45">
      <c r="B932" s="46" cm="1">
        <f t="array" aca="1" ref="B932" ca="1">_xll.VoseSimValue(InterestOut,846)</f>
        <v>5.6242668706152701E-2</v>
      </c>
      <c r="C932" s="46" cm="1">
        <f t="array" aca="1" ref="C932" ca="1">_xll.VoseSimValue(MortgageOut,846)</f>
        <v>9.5638497719822788E-2</v>
      </c>
    </row>
    <row r="933" spans="2:3" hidden="1" outlineLevel="1" x14ac:dyDescent="0.45">
      <c r="B933" s="46" cm="1">
        <f t="array" aca="1" ref="B933" ca="1">_xll.VoseSimValue(InterestOut,847)</f>
        <v>3.788782099176425E-2</v>
      </c>
      <c r="C933" s="46" cm="1">
        <f t="array" aca="1" ref="C933" ca="1">_xll.VoseSimValue(MortgageOut,847)</f>
        <v>8.0163226294291165E-2</v>
      </c>
    </row>
    <row r="934" spans="2:3" hidden="1" outlineLevel="1" x14ac:dyDescent="0.45">
      <c r="B934" s="46" cm="1">
        <f t="array" aca="1" ref="B934" ca="1">_xll.VoseSimValue(InterestOut,848)</f>
        <v>5.3519008874715251E-2</v>
      </c>
      <c r="C934" s="46" cm="1">
        <f t="array" aca="1" ref="C934" ca="1">_xll.VoseSimValue(MortgageOut,848)</f>
        <v>0.12108489270429681</v>
      </c>
    </row>
    <row r="935" spans="2:3" hidden="1" outlineLevel="1" x14ac:dyDescent="0.45">
      <c r="B935" s="46" cm="1">
        <f t="array" aca="1" ref="B935" ca="1">_xll.VoseSimValue(InterestOut,849)</f>
        <v>5.0185567769606101E-2</v>
      </c>
      <c r="C935" s="46" cm="1">
        <f t="array" aca="1" ref="C935" ca="1">_xll.VoseSimValue(MortgageOut,849)</f>
        <v>8.522910319124187E-2</v>
      </c>
    </row>
    <row r="936" spans="2:3" hidden="1" outlineLevel="1" x14ac:dyDescent="0.45">
      <c r="B936" s="46" cm="1">
        <f t="array" aca="1" ref="B936" ca="1">_xll.VoseSimValue(InterestOut,850)</f>
        <v>5.3235044573376883E-2</v>
      </c>
      <c r="C936" s="46" cm="1">
        <f t="array" aca="1" ref="C936" ca="1">_xll.VoseSimValue(MortgageOut,850)</f>
        <v>8.9080697122075406E-2</v>
      </c>
    </row>
    <row r="937" spans="2:3" hidden="1" outlineLevel="1" x14ac:dyDescent="0.45">
      <c r="B937" s="46" cm="1">
        <f t="array" aca="1" ref="B937" ca="1">_xll.VoseSimValue(InterestOut,851)</f>
        <v>3.9978917665613109E-2</v>
      </c>
      <c r="C937" s="46" cm="1">
        <f t="array" aca="1" ref="C937" ca="1">_xll.VoseSimValue(MortgageOut,851)</f>
        <v>9.7971646659741216E-2</v>
      </c>
    </row>
    <row r="938" spans="2:3" hidden="1" outlineLevel="1" x14ac:dyDescent="0.45">
      <c r="B938" s="46" cm="1">
        <f t="array" aca="1" ref="B938" ca="1">_xll.VoseSimValue(InterestOut,852)</f>
        <v>4.7612509980330842E-2</v>
      </c>
      <c r="C938" s="46" cm="1">
        <f t="array" aca="1" ref="C938" ca="1">_xll.VoseSimValue(MortgageOut,852)</f>
        <v>0.11235686531078189</v>
      </c>
    </row>
    <row r="939" spans="2:3" hidden="1" outlineLevel="1" x14ac:dyDescent="0.45">
      <c r="B939" s="46" cm="1">
        <f t="array" aca="1" ref="B939" ca="1">_xll.VoseSimValue(InterestOut,853)</f>
        <v>3.5433787506499385E-2</v>
      </c>
      <c r="C939" s="46" cm="1">
        <f t="array" aca="1" ref="C939" ca="1">_xll.VoseSimValue(MortgageOut,853)</f>
        <v>8.3046364515851706E-2</v>
      </c>
    </row>
    <row r="940" spans="2:3" hidden="1" outlineLevel="1" x14ac:dyDescent="0.45">
      <c r="B940" s="46" cm="1">
        <f t="array" aca="1" ref="B940" ca="1">_xll.VoseSimValue(InterestOut,854)</f>
        <v>6.8470196632493319E-2</v>
      </c>
      <c r="C940" s="46" cm="1">
        <f t="array" aca="1" ref="C940" ca="1">_xll.VoseSimValue(MortgageOut,854)</f>
        <v>0.1096433992815837</v>
      </c>
    </row>
    <row r="941" spans="2:3" hidden="1" outlineLevel="1" x14ac:dyDescent="0.45">
      <c r="B941" s="46" cm="1">
        <f t="array" aca="1" ref="B941" ca="1">_xll.VoseSimValue(InterestOut,855)</f>
        <v>5.8586482882462057E-2</v>
      </c>
      <c r="C941" s="46" cm="1">
        <f t="array" aca="1" ref="C941" ca="1">_xll.VoseSimValue(MortgageOut,855)</f>
        <v>0.11203515202747245</v>
      </c>
    </row>
    <row r="942" spans="2:3" hidden="1" outlineLevel="1" x14ac:dyDescent="0.45">
      <c r="B942" s="46" cm="1">
        <f t="array" aca="1" ref="B942" ca="1">_xll.VoseSimValue(InterestOut,856)</f>
        <v>7.2027599358218924E-2</v>
      </c>
      <c r="C942" s="46" cm="1">
        <f t="array" aca="1" ref="C942" ca="1">_xll.VoseSimValue(MortgageOut,856)</f>
        <v>0.10963468169856164</v>
      </c>
    </row>
    <row r="943" spans="2:3" hidden="1" outlineLevel="1" x14ac:dyDescent="0.45">
      <c r="B943" s="46" cm="1">
        <f t="array" aca="1" ref="B943" ca="1">_xll.VoseSimValue(InterestOut,857)</f>
        <v>4.851110518903172E-2</v>
      </c>
      <c r="C943" s="46" cm="1">
        <f t="array" aca="1" ref="C943" ca="1">_xll.VoseSimValue(MortgageOut,857)</f>
        <v>8.6283862383664658E-2</v>
      </c>
    </row>
    <row r="944" spans="2:3" hidden="1" outlineLevel="1" x14ac:dyDescent="0.45">
      <c r="B944" s="46" cm="1">
        <f t="array" aca="1" ref="B944" ca="1">_xll.VoseSimValue(InterestOut,858)</f>
        <v>4.8307107158332904E-2</v>
      </c>
      <c r="C944" s="46" cm="1">
        <f t="array" aca="1" ref="C944" ca="1">_xll.VoseSimValue(MortgageOut,858)</f>
        <v>0.11651216525787821</v>
      </c>
    </row>
    <row r="945" spans="2:3" hidden="1" outlineLevel="1" x14ac:dyDescent="0.45">
      <c r="B945" s="46" cm="1">
        <f t="array" aca="1" ref="B945" ca="1">_xll.VoseSimValue(InterestOut,859)</f>
        <v>5.8324960624556721E-2</v>
      </c>
      <c r="C945" s="46" cm="1">
        <f t="array" aca="1" ref="C945" ca="1">_xll.VoseSimValue(MortgageOut,859)</f>
        <v>0.10126219613698541</v>
      </c>
    </row>
    <row r="946" spans="2:3" hidden="1" outlineLevel="1" x14ac:dyDescent="0.45">
      <c r="B946" s="46" cm="1">
        <f t="array" aca="1" ref="B946" ca="1">_xll.VoseSimValue(InterestOut,860)</f>
        <v>6.15523270501439E-2</v>
      </c>
      <c r="C946" s="46" cm="1">
        <f t="array" aca="1" ref="C946" ca="1">_xll.VoseSimValue(MortgageOut,860)</f>
        <v>0.10769839760602586</v>
      </c>
    </row>
    <row r="947" spans="2:3" hidden="1" outlineLevel="1" x14ac:dyDescent="0.45">
      <c r="B947" s="46" cm="1">
        <f t="array" aca="1" ref="B947" ca="1">_xll.VoseSimValue(InterestOut,861)</f>
        <v>5.0023580634049054E-2</v>
      </c>
      <c r="C947" s="46" cm="1">
        <f t="array" aca="1" ref="C947" ca="1">_xll.VoseSimValue(MortgageOut,861)</f>
        <v>0.1083712112483062</v>
      </c>
    </row>
    <row r="948" spans="2:3" hidden="1" outlineLevel="1" x14ac:dyDescent="0.45">
      <c r="B948" s="46" cm="1">
        <f t="array" aca="1" ref="B948" ca="1">_xll.VoseSimValue(InterestOut,862)</f>
        <v>7.1198129621130452E-2</v>
      </c>
      <c r="C948" s="46" cm="1">
        <f t="array" aca="1" ref="C948" ca="1">_xll.VoseSimValue(MortgageOut,862)</f>
        <v>0.11823714702111923</v>
      </c>
    </row>
    <row r="949" spans="2:3" hidden="1" outlineLevel="1" x14ac:dyDescent="0.45">
      <c r="B949" s="46" cm="1">
        <f t="array" aca="1" ref="B949" ca="1">_xll.VoseSimValue(InterestOut,863)</f>
        <v>4.9962813085732437E-2</v>
      </c>
      <c r="C949" s="46" cm="1">
        <f t="array" aca="1" ref="C949" ca="1">_xll.VoseSimValue(MortgageOut,863)</f>
        <v>0.10571446318377772</v>
      </c>
    </row>
    <row r="950" spans="2:3" hidden="1" outlineLevel="1" x14ac:dyDescent="0.45">
      <c r="B950" s="46" cm="1">
        <f t="array" aca="1" ref="B950" ca="1">_xll.VoseSimValue(InterestOut,864)</f>
        <v>5.3557042708491265E-2</v>
      </c>
      <c r="C950" s="46" cm="1">
        <f t="array" aca="1" ref="C950" ca="1">_xll.VoseSimValue(MortgageOut,864)</f>
        <v>0.10167079935207372</v>
      </c>
    </row>
    <row r="951" spans="2:3" hidden="1" outlineLevel="1" x14ac:dyDescent="0.45">
      <c r="B951" s="46" cm="1">
        <f t="array" aca="1" ref="B951" ca="1">_xll.VoseSimValue(InterestOut,865)</f>
        <v>5.0696823353463608E-2</v>
      </c>
      <c r="C951" s="46" cm="1">
        <f t="array" aca="1" ref="C951" ca="1">_xll.VoseSimValue(MortgageOut,865)</f>
        <v>0.11448386757357976</v>
      </c>
    </row>
    <row r="952" spans="2:3" hidden="1" outlineLevel="1" x14ac:dyDescent="0.45">
      <c r="B952" s="46" cm="1">
        <f t="array" aca="1" ref="B952" ca="1">_xll.VoseSimValue(InterestOut,866)</f>
        <v>5.5974085455983077E-2</v>
      </c>
      <c r="C952" s="46" cm="1">
        <f t="array" aca="1" ref="C952" ca="1">_xll.VoseSimValue(MortgageOut,866)</f>
        <v>0.10398829174499594</v>
      </c>
    </row>
    <row r="953" spans="2:3" hidden="1" outlineLevel="1" x14ac:dyDescent="0.45">
      <c r="B953" s="46" cm="1">
        <f t="array" aca="1" ref="B953" ca="1">_xll.VoseSimValue(InterestOut,867)</f>
        <v>5.0590020404875952E-2</v>
      </c>
      <c r="C953" s="46" cm="1">
        <f t="array" aca="1" ref="C953" ca="1">_xll.VoseSimValue(MortgageOut,867)</f>
        <v>0.12032037966157244</v>
      </c>
    </row>
    <row r="954" spans="2:3" hidden="1" outlineLevel="1" x14ac:dyDescent="0.45">
      <c r="B954" s="46" cm="1">
        <f t="array" aca="1" ref="B954" ca="1">_xll.VoseSimValue(InterestOut,868)</f>
        <v>3.8829379880173348E-2</v>
      </c>
      <c r="C954" s="46" cm="1">
        <f t="array" aca="1" ref="C954" ca="1">_xll.VoseSimValue(MortgageOut,868)</f>
        <v>0.1051792506056359</v>
      </c>
    </row>
    <row r="955" spans="2:3" hidden="1" outlineLevel="1" x14ac:dyDescent="0.45">
      <c r="B955" s="46" cm="1">
        <f t="array" aca="1" ref="B955" ca="1">_xll.VoseSimValue(InterestOut,869)</f>
        <v>6.0275501761806738E-2</v>
      </c>
      <c r="C955" s="46" cm="1">
        <f t="array" aca="1" ref="C955" ca="1">_xll.VoseSimValue(MortgageOut,869)</f>
        <v>0.1093864047494546</v>
      </c>
    </row>
    <row r="956" spans="2:3" hidden="1" outlineLevel="1" x14ac:dyDescent="0.45">
      <c r="B956" s="46" cm="1">
        <f t="array" aca="1" ref="B956" ca="1">_xll.VoseSimValue(InterestOut,870)</f>
        <v>7.3018044439873281E-2</v>
      </c>
      <c r="C956" s="46" cm="1">
        <f t="array" aca="1" ref="C956" ca="1">_xll.VoseSimValue(MortgageOut,870)</f>
        <v>0.12758976632311614</v>
      </c>
    </row>
    <row r="957" spans="2:3" hidden="1" outlineLevel="1" x14ac:dyDescent="0.45">
      <c r="B957" s="46" cm="1">
        <f t="array" aca="1" ref="B957" ca="1">_xll.VoseSimValue(InterestOut,871)</f>
        <v>4.8710117814805484E-2</v>
      </c>
      <c r="C957" s="46" cm="1">
        <f t="array" aca="1" ref="C957" ca="1">_xll.VoseSimValue(MortgageOut,871)</f>
        <v>0.10474570088982768</v>
      </c>
    </row>
    <row r="958" spans="2:3" hidden="1" outlineLevel="1" x14ac:dyDescent="0.45">
      <c r="B958" s="46" cm="1">
        <f t="array" aca="1" ref="B958" ca="1">_xll.VoseSimValue(InterestOut,872)</f>
        <v>5.942583639828955E-2</v>
      </c>
      <c r="C958" s="46" cm="1">
        <f t="array" aca="1" ref="C958" ca="1">_xll.VoseSimValue(MortgageOut,872)</f>
        <v>0.10854404981898166</v>
      </c>
    </row>
    <row r="959" spans="2:3" hidden="1" outlineLevel="1" x14ac:dyDescent="0.45">
      <c r="B959" s="46" cm="1">
        <f t="array" aca="1" ref="B959" ca="1">_xll.VoseSimValue(InterestOut,873)</f>
        <v>6.4748309154895017E-2</v>
      </c>
      <c r="C959" s="46" cm="1">
        <f t="array" aca="1" ref="C959" ca="1">_xll.VoseSimValue(MortgageOut,873)</f>
        <v>0.11643336038120325</v>
      </c>
    </row>
    <row r="960" spans="2:3" hidden="1" outlineLevel="1" x14ac:dyDescent="0.45">
      <c r="B960" s="46" cm="1">
        <f t="array" aca="1" ref="B960" ca="1">_xll.VoseSimValue(InterestOut,874)</f>
        <v>7.3865677762167681E-2</v>
      </c>
      <c r="C960" s="46" cm="1">
        <f t="array" aca="1" ref="C960" ca="1">_xll.VoseSimValue(MortgageOut,874)</f>
        <v>0.11390044357390583</v>
      </c>
    </row>
    <row r="961" spans="2:3" hidden="1" outlineLevel="1" x14ac:dyDescent="0.45">
      <c r="B961" s="46" cm="1">
        <f t="array" aca="1" ref="B961" ca="1">_xll.VoseSimValue(InterestOut,875)</f>
        <v>3.6131825437845815E-2</v>
      </c>
      <c r="C961" s="46" cm="1">
        <f t="array" aca="1" ref="C961" ca="1">_xll.VoseSimValue(MortgageOut,875)</f>
        <v>8.7431067049636768E-2</v>
      </c>
    </row>
    <row r="962" spans="2:3" hidden="1" outlineLevel="1" x14ac:dyDescent="0.45">
      <c r="B962" s="46" cm="1">
        <f t="array" aca="1" ref="B962" ca="1">_xll.VoseSimValue(InterestOut,876)</f>
        <v>5.5471838637462662E-2</v>
      </c>
      <c r="C962" s="46" cm="1">
        <f t="array" aca="1" ref="C962" ca="1">_xll.VoseSimValue(MortgageOut,876)</f>
        <v>0.11201462566265206</v>
      </c>
    </row>
    <row r="963" spans="2:3" hidden="1" outlineLevel="1" x14ac:dyDescent="0.45">
      <c r="B963" s="46" cm="1">
        <f t="array" aca="1" ref="B963" ca="1">_xll.VoseSimValue(InterestOut,877)</f>
        <v>5.9230444342206104E-2</v>
      </c>
      <c r="C963" s="46" cm="1">
        <f t="array" aca="1" ref="C963" ca="1">_xll.VoseSimValue(MortgageOut,877)</f>
        <v>0.10932485913130253</v>
      </c>
    </row>
    <row r="964" spans="2:3" hidden="1" outlineLevel="1" x14ac:dyDescent="0.45">
      <c r="B964" s="46" cm="1">
        <f t="array" aca="1" ref="B964" ca="1">_xll.VoseSimValue(InterestOut,878)</f>
        <v>3.615737487701106E-2</v>
      </c>
      <c r="C964" s="46" cm="1">
        <f t="array" aca="1" ref="C964" ca="1">_xll.VoseSimValue(MortgageOut,878)</f>
        <v>8.840602320361847E-2</v>
      </c>
    </row>
    <row r="965" spans="2:3" hidden="1" outlineLevel="1" x14ac:dyDescent="0.45">
      <c r="B965" s="46" cm="1">
        <f t="array" aca="1" ref="B965" ca="1">_xll.VoseSimValue(InterestOut,879)</f>
        <v>4.0458579879830057E-2</v>
      </c>
      <c r="C965" s="46" cm="1">
        <f t="array" aca="1" ref="C965" ca="1">_xll.VoseSimValue(MortgageOut,879)</f>
        <v>0.10887555461027035</v>
      </c>
    </row>
    <row r="966" spans="2:3" hidden="1" outlineLevel="1" x14ac:dyDescent="0.45">
      <c r="B966" s="46" cm="1">
        <f t="array" aca="1" ref="B966" ca="1">_xll.VoseSimValue(InterestOut,880)</f>
        <v>5.7433329088854963E-2</v>
      </c>
      <c r="C966" s="46" cm="1">
        <f t="array" aca="1" ref="C966" ca="1">_xll.VoseSimValue(MortgageOut,880)</f>
        <v>0.11072318095106379</v>
      </c>
    </row>
    <row r="967" spans="2:3" hidden="1" outlineLevel="1" x14ac:dyDescent="0.45">
      <c r="B967" s="46" cm="1">
        <f t="array" aca="1" ref="B967" ca="1">_xll.VoseSimValue(InterestOut,881)</f>
        <v>5.4473019961721228E-2</v>
      </c>
      <c r="C967" s="46" cm="1">
        <f t="array" aca="1" ref="C967" ca="1">_xll.VoseSimValue(MortgageOut,881)</f>
        <v>0.11113594236137414</v>
      </c>
    </row>
    <row r="968" spans="2:3" hidden="1" outlineLevel="1" x14ac:dyDescent="0.45">
      <c r="B968" s="46" cm="1">
        <f t="array" aca="1" ref="B968" ca="1">_xll.VoseSimValue(InterestOut,882)</f>
        <v>5.6484440823511756E-2</v>
      </c>
      <c r="C968" s="46" cm="1">
        <f t="array" aca="1" ref="C968" ca="1">_xll.VoseSimValue(MortgageOut,882)</f>
        <v>0.12647360719326256</v>
      </c>
    </row>
    <row r="969" spans="2:3" hidden="1" outlineLevel="1" x14ac:dyDescent="0.45">
      <c r="B969" s="46" cm="1">
        <f t="array" aca="1" ref="B969" ca="1">_xll.VoseSimValue(InterestOut,883)</f>
        <v>3.3624784138198673E-2</v>
      </c>
      <c r="C969" s="46" cm="1">
        <f t="array" aca="1" ref="C969" ca="1">_xll.VoseSimValue(MortgageOut,883)</f>
        <v>7.5179435919761117E-2</v>
      </c>
    </row>
    <row r="970" spans="2:3" hidden="1" outlineLevel="1" x14ac:dyDescent="0.45">
      <c r="B970" s="46" cm="1">
        <f t="array" aca="1" ref="B970" ca="1">_xll.VoseSimValue(InterestOut,884)</f>
        <v>5.4202792644752737E-2</v>
      </c>
      <c r="C970" s="46" cm="1">
        <f t="array" aca="1" ref="C970" ca="1">_xll.VoseSimValue(MortgageOut,884)</f>
        <v>0.11357234171694086</v>
      </c>
    </row>
    <row r="971" spans="2:3" hidden="1" outlineLevel="1" x14ac:dyDescent="0.45">
      <c r="B971" s="46" cm="1">
        <f t="array" aca="1" ref="B971" ca="1">_xll.VoseSimValue(InterestOut,885)</f>
        <v>5.2297051696358593E-2</v>
      </c>
      <c r="C971" s="46" cm="1">
        <f t="array" aca="1" ref="C971" ca="1">_xll.VoseSimValue(MortgageOut,885)</f>
        <v>0.11096706536135578</v>
      </c>
    </row>
    <row r="972" spans="2:3" hidden="1" outlineLevel="1" x14ac:dyDescent="0.45">
      <c r="B972" s="46" cm="1">
        <f t="array" aca="1" ref="B972" ca="1">_xll.VoseSimValue(InterestOut,886)</f>
        <v>3.9690000673129736E-2</v>
      </c>
      <c r="C972" s="46" cm="1">
        <f t="array" aca="1" ref="C972" ca="1">_xll.VoseSimValue(MortgageOut,886)</f>
        <v>8.2491763637452017E-2</v>
      </c>
    </row>
    <row r="973" spans="2:3" hidden="1" outlineLevel="1" x14ac:dyDescent="0.45">
      <c r="B973" s="46" cm="1">
        <f t="array" aca="1" ref="B973" ca="1">_xll.VoseSimValue(InterestOut,887)</f>
        <v>3.2211556683551669E-2</v>
      </c>
      <c r="C973" s="46" cm="1">
        <f t="array" aca="1" ref="C973" ca="1">_xll.VoseSimValue(MortgageOut,887)</f>
        <v>9.6566759124872045E-2</v>
      </c>
    </row>
    <row r="974" spans="2:3" hidden="1" outlineLevel="1" x14ac:dyDescent="0.45">
      <c r="B974" s="46" cm="1">
        <f t="array" aca="1" ref="B974" ca="1">_xll.VoseSimValue(InterestOut,888)</f>
        <v>4.5411574723967951E-2</v>
      </c>
      <c r="C974" s="46" cm="1">
        <f t="array" aca="1" ref="C974" ca="1">_xll.VoseSimValue(MortgageOut,888)</f>
        <v>0.10215009897159259</v>
      </c>
    </row>
    <row r="975" spans="2:3" hidden="1" outlineLevel="1" x14ac:dyDescent="0.45">
      <c r="B975" s="46" cm="1">
        <f t="array" aca="1" ref="B975" ca="1">_xll.VoseSimValue(InterestOut,889)</f>
        <v>6.7820087507962118E-2</v>
      </c>
      <c r="C975" s="46" cm="1">
        <f t="array" aca="1" ref="C975" ca="1">_xll.VoseSimValue(MortgageOut,889)</f>
        <v>0.13485365652460957</v>
      </c>
    </row>
    <row r="976" spans="2:3" hidden="1" outlineLevel="1" x14ac:dyDescent="0.45">
      <c r="B976" s="46" cm="1">
        <f t="array" aca="1" ref="B976" ca="1">_xll.VoseSimValue(InterestOut,890)</f>
        <v>5.9311440011612135E-2</v>
      </c>
      <c r="C976" s="46" cm="1">
        <f t="array" aca="1" ref="C976" ca="1">_xll.VoseSimValue(MortgageOut,890)</f>
        <v>0.11489664098694757</v>
      </c>
    </row>
    <row r="977" spans="2:3" hidden="1" outlineLevel="1" x14ac:dyDescent="0.45">
      <c r="B977" s="46" cm="1">
        <f t="array" aca="1" ref="B977" ca="1">_xll.VoseSimValue(InterestOut,891)</f>
        <v>6.4787720306627328E-2</v>
      </c>
      <c r="C977" s="46" cm="1">
        <f t="array" aca="1" ref="C977" ca="1">_xll.VoseSimValue(MortgageOut,891)</f>
        <v>0.11978331546401481</v>
      </c>
    </row>
    <row r="978" spans="2:3" hidden="1" outlineLevel="1" x14ac:dyDescent="0.45">
      <c r="B978" s="46" cm="1">
        <f t="array" aca="1" ref="B978" ca="1">_xll.VoseSimValue(InterestOut,892)</f>
        <v>6.3983313847154943E-2</v>
      </c>
      <c r="C978" s="46" cm="1">
        <f t="array" aca="1" ref="C978" ca="1">_xll.VoseSimValue(MortgageOut,892)</f>
        <v>0.11052656219394795</v>
      </c>
    </row>
    <row r="979" spans="2:3" hidden="1" outlineLevel="1" x14ac:dyDescent="0.45">
      <c r="B979" s="46" cm="1">
        <f t="array" aca="1" ref="B979" ca="1">_xll.VoseSimValue(InterestOut,893)</f>
        <v>6.0012030427558927E-2</v>
      </c>
      <c r="C979" s="46" cm="1">
        <f t="array" aca="1" ref="C979" ca="1">_xll.VoseSimValue(MortgageOut,893)</f>
        <v>9.2150907309476726E-2</v>
      </c>
    </row>
    <row r="980" spans="2:3" hidden="1" outlineLevel="1" x14ac:dyDescent="0.45">
      <c r="B980" s="46" cm="1">
        <f t="array" aca="1" ref="B980" ca="1">_xll.VoseSimValue(InterestOut,894)</f>
        <v>5.1553233485772343E-2</v>
      </c>
      <c r="C980" s="46" cm="1">
        <f t="array" aca="1" ref="C980" ca="1">_xll.VoseSimValue(MortgageOut,894)</f>
        <v>0.11504488744144489</v>
      </c>
    </row>
    <row r="981" spans="2:3" hidden="1" outlineLevel="1" x14ac:dyDescent="0.45">
      <c r="B981" s="46" cm="1">
        <f t="array" aca="1" ref="B981" ca="1">_xll.VoseSimValue(InterestOut,895)</f>
        <v>6.5350058266518074E-2</v>
      </c>
      <c r="C981" s="46" cm="1">
        <f t="array" aca="1" ref="C981" ca="1">_xll.VoseSimValue(MortgageOut,895)</f>
        <v>0.12846189142926068</v>
      </c>
    </row>
    <row r="982" spans="2:3" hidden="1" outlineLevel="1" x14ac:dyDescent="0.45">
      <c r="B982" s="46" cm="1">
        <f t="array" aca="1" ref="B982" ca="1">_xll.VoseSimValue(InterestOut,896)</f>
        <v>5.7327715755109865E-2</v>
      </c>
      <c r="C982" s="46" cm="1">
        <f t="array" aca="1" ref="C982" ca="1">_xll.VoseSimValue(MortgageOut,896)</f>
        <v>0.10909586670089773</v>
      </c>
    </row>
    <row r="983" spans="2:3" hidden="1" outlineLevel="1" x14ac:dyDescent="0.45">
      <c r="B983" s="46" cm="1">
        <f t="array" aca="1" ref="B983" ca="1">_xll.VoseSimValue(InterestOut,897)</f>
        <v>4.1193489591367954E-2</v>
      </c>
      <c r="C983" s="46" cm="1">
        <f t="array" aca="1" ref="C983" ca="1">_xll.VoseSimValue(MortgageOut,897)</f>
        <v>0.10653192591154131</v>
      </c>
    </row>
    <row r="984" spans="2:3" hidden="1" outlineLevel="1" x14ac:dyDescent="0.45">
      <c r="B984" s="46" cm="1">
        <f t="array" aca="1" ref="B984" ca="1">_xll.VoseSimValue(InterestOut,898)</f>
        <v>3.8435112049639411E-2</v>
      </c>
      <c r="C984" s="46" cm="1">
        <f t="array" aca="1" ref="C984" ca="1">_xll.VoseSimValue(MortgageOut,898)</f>
        <v>0.100047698273522</v>
      </c>
    </row>
    <row r="985" spans="2:3" hidden="1" outlineLevel="1" x14ac:dyDescent="0.45">
      <c r="B985" s="46" cm="1">
        <f t="array" aca="1" ref="B985" ca="1">_xll.VoseSimValue(InterestOut,899)</f>
        <v>4.1621595782830138E-2</v>
      </c>
      <c r="C985" s="46" cm="1">
        <f t="array" aca="1" ref="C985" ca="1">_xll.VoseSimValue(MortgageOut,899)</f>
        <v>9.9744802919441072E-2</v>
      </c>
    </row>
    <row r="986" spans="2:3" hidden="1" outlineLevel="1" x14ac:dyDescent="0.45">
      <c r="B986" s="46" cm="1">
        <f t="array" aca="1" ref="B986" ca="1">_xll.VoseSimValue(InterestOut,900)</f>
        <v>5.4383391588457966E-2</v>
      </c>
      <c r="C986" s="46" cm="1">
        <f t="array" aca="1" ref="C986" ca="1">_xll.VoseSimValue(MortgageOut,900)</f>
        <v>0.10704483916471234</v>
      </c>
    </row>
    <row r="987" spans="2:3" hidden="1" outlineLevel="1" x14ac:dyDescent="0.45">
      <c r="B987" s="46" cm="1">
        <f t="array" aca="1" ref="B987" ca="1">_xll.VoseSimValue(InterestOut,901)</f>
        <v>4.262000134393161E-2</v>
      </c>
      <c r="C987" s="46" cm="1">
        <f t="array" aca="1" ref="C987" ca="1">_xll.VoseSimValue(MortgageOut,901)</f>
        <v>9.2941531743787886E-2</v>
      </c>
    </row>
    <row r="988" spans="2:3" hidden="1" outlineLevel="1" x14ac:dyDescent="0.45">
      <c r="B988" s="46" cm="1">
        <f t="array" aca="1" ref="B988" ca="1">_xll.VoseSimValue(InterestOut,902)</f>
        <v>6.1618436536321985E-2</v>
      </c>
      <c r="C988" s="46" cm="1">
        <f t="array" aca="1" ref="C988" ca="1">_xll.VoseSimValue(MortgageOut,902)</f>
        <v>0.10377186176782047</v>
      </c>
    </row>
    <row r="989" spans="2:3" hidden="1" outlineLevel="1" x14ac:dyDescent="0.45">
      <c r="B989" s="46" cm="1">
        <f t="array" aca="1" ref="B989" ca="1">_xll.VoseSimValue(InterestOut,903)</f>
        <v>5.4584557359730557E-2</v>
      </c>
      <c r="C989" s="46" cm="1">
        <f t="array" aca="1" ref="C989" ca="1">_xll.VoseSimValue(MortgageOut,903)</f>
        <v>0.1043308198083203</v>
      </c>
    </row>
    <row r="990" spans="2:3" hidden="1" outlineLevel="1" x14ac:dyDescent="0.45">
      <c r="B990" s="46" cm="1">
        <f t="array" aca="1" ref="B990" ca="1">_xll.VoseSimValue(InterestOut,904)</f>
        <v>5.6722376736613192E-2</v>
      </c>
      <c r="C990" s="46" cm="1">
        <f t="array" aca="1" ref="C990" ca="1">_xll.VoseSimValue(MortgageOut,904)</f>
        <v>0.10390858664857526</v>
      </c>
    </row>
    <row r="991" spans="2:3" hidden="1" outlineLevel="1" x14ac:dyDescent="0.45">
      <c r="B991" s="46" cm="1">
        <f t="array" aca="1" ref="B991" ca="1">_xll.VoseSimValue(InterestOut,905)</f>
        <v>6.4810230084558024E-2</v>
      </c>
      <c r="C991" s="46" cm="1">
        <f t="array" aca="1" ref="C991" ca="1">_xll.VoseSimValue(MortgageOut,905)</f>
        <v>0.12570830266477617</v>
      </c>
    </row>
    <row r="992" spans="2:3" hidden="1" outlineLevel="1" x14ac:dyDescent="0.45">
      <c r="B992" s="46" cm="1">
        <f t="array" aca="1" ref="B992" ca="1">_xll.VoseSimValue(InterestOut,906)</f>
        <v>5.273682114708729E-2</v>
      </c>
      <c r="C992" s="46" cm="1">
        <f t="array" aca="1" ref="C992" ca="1">_xll.VoseSimValue(MortgageOut,906)</f>
        <v>0.10961497067958706</v>
      </c>
    </row>
    <row r="993" spans="2:3" hidden="1" outlineLevel="1" x14ac:dyDescent="0.45">
      <c r="B993" s="46" cm="1">
        <f t="array" aca="1" ref="B993" ca="1">_xll.VoseSimValue(InterestOut,907)</f>
        <v>7.2657543915540523E-2</v>
      </c>
      <c r="C993" s="46" cm="1">
        <f t="array" aca="1" ref="C993" ca="1">_xll.VoseSimValue(MortgageOut,907)</f>
        <v>0.110958561646343</v>
      </c>
    </row>
    <row r="994" spans="2:3" hidden="1" outlineLevel="1" x14ac:dyDescent="0.45">
      <c r="B994" s="46" cm="1">
        <f t="array" aca="1" ref="B994" ca="1">_xll.VoseSimValue(InterestOut,908)</f>
        <v>6.2612896914924582E-2</v>
      </c>
      <c r="C994" s="46" cm="1">
        <f t="array" aca="1" ref="C994" ca="1">_xll.VoseSimValue(MortgageOut,908)</f>
        <v>0.10701095836163428</v>
      </c>
    </row>
    <row r="995" spans="2:3" hidden="1" outlineLevel="1" x14ac:dyDescent="0.45">
      <c r="B995" s="46" cm="1">
        <f t="array" aca="1" ref="B995" ca="1">_xll.VoseSimValue(InterestOut,909)</f>
        <v>5.718533208778008E-2</v>
      </c>
      <c r="C995" s="46" cm="1">
        <f t="array" aca="1" ref="C995" ca="1">_xll.VoseSimValue(MortgageOut,909)</f>
        <v>0.11915043654091964</v>
      </c>
    </row>
    <row r="996" spans="2:3" hidden="1" outlineLevel="1" x14ac:dyDescent="0.45">
      <c r="B996" s="46" cm="1">
        <f t="array" aca="1" ref="B996" ca="1">_xll.VoseSimValue(InterestOut,910)</f>
        <v>5.8272044064632794E-2</v>
      </c>
      <c r="C996" s="46" cm="1">
        <f t="array" aca="1" ref="C996" ca="1">_xll.VoseSimValue(MortgageOut,910)</f>
        <v>0.12059685958782682</v>
      </c>
    </row>
    <row r="997" spans="2:3" hidden="1" outlineLevel="1" x14ac:dyDescent="0.45">
      <c r="B997" s="46" cm="1">
        <f t="array" aca="1" ref="B997" ca="1">_xll.VoseSimValue(InterestOut,911)</f>
        <v>5.7835269672326411E-2</v>
      </c>
      <c r="C997" s="46" cm="1">
        <f t="array" aca="1" ref="C997" ca="1">_xll.VoseSimValue(MortgageOut,911)</f>
        <v>0.11106134092663716</v>
      </c>
    </row>
    <row r="998" spans="2:3" hidden="1" outlineLevel="1" x14ac:dyDescent="0.45">
      <c r="B998" s="46" cm="1">
        <f t="array" aca="1" ref="B998" ca="1">_xll.VoseSimValue(InterestOut,912)</f>
        <v>4.4951695304240737E-2</v>
      </c>
      <c r="C998" s="46" cm="1">
        <f t="array" aca="1" ref="C998" ca="1">_xll.VoseSimValue(MortgageOut,912)</f>
        <v>8.612673854282385E-2</v>
      </c>
    </row>
    <row r="999" spans="2:3" hidden="1" outlineLevel="1" x14ac:dyDescent="0.45">
      <c r="B999" s="46" cm="1">
        <f t="array" aca="1" ref="B999" ca="1">_xll.VoseSimValue(InterestOut,913)</f>
        <v>6.5005049986092633E-2</v>
      </c>
      <c r="C999" s="46" cm="1">
        <f t="array" aca="1" ref="C999" ca="1">_xll.VoseSimValue(MortgageOut,913)</f>
        <v>0.10193947337852768</v>
      </c>
    </row>
    <row r="1000" spans="2:3" hidden="1" outlineLevel="1" x14ac:dyDescent="0.45">
      <c r="B1000" s="46" cm="1">
        <f t="array" aca="1" ref="B1000" ca="1">_xll.VoseSimValue(InterestOut,914)</f>
        <v>7.7672798355920392E-2</v>
      </c>
      <c r="C1000" s="46" cm="1">
        <f t="array" aca="1" ref="C1000" ca="1">_xll.VoseSimValue(MortgageOut,914)</f>
        <v>0.13418730142120261</v>
      </c>
    </row>
    <row r="1001" spans="2:3" hidden="1" outlineLevel="1" x14ac:dyDescent="0.45">
      <c r="B1001" s="46" cm="1">
        <f t="array" aca="1" ref="B1001" ca="1">_xll.VoseSimValue(InterestOut,915)</f>
        <v>4.8670071263748879E-2</v>
      </c>
      <c r="C1001" s="46" cm="1">
        <f t="array" aca="1" ref="C1001" ca="1">_xll.VoseSimValue(MortgageOut,915)</f>
        <v>0.11096576743511676</v>
      </c>
    </row>
    <row r="1002" spans="2:3" hidden="1" outlineLevel="1" x14ac:dyDescent="0.45">
      <c r="B1002" s="46" cm="1">
        <f t="array" aca="1" ref="B1002" ca="1">_xll.VoseSimValue(InterestOut,916)</f>
        <v>5.3240765301614437E-2</v>
      </c>
      <c r="C1002" s="46" cm="1">
        <f t="array" aca="1" ref="C1002" ca="1">_xll.VoseSimValue(MortgageOut,916)</f>
        <v>0.1115163283256476</v>
      </c>
    </row>
    <row r="1003" spans="2:3" hidden="1" outlineLevel="1" x14ac:dyDescent="0.45">
      <c r="B1003" s="46" cm="1">
        <f t="array" aca="1" ref="B1003" ca="1">_xll.VoseSimValue(InterestOut,917)</f>
        <v>4.4525571806713196E-2</v>
      </c>
      <c r="C1003" s="46" cm="1">
        <f t="array" aca="1" ref="C1003" ca="1">_xll.VoseSimValue(MortgageOut,917)</f>
        <v>9.4056114435386626E-2</v>
      </c>
    </row>
    <row r="1004" spans="2:3" hidden="1" outlineLevel="1" x14ac:dyDescent="0.45">
      <c r="B1004" s="46" cm="1">
        <f t="array" aca="1" ref="B1004" ca="1">_xll.VoseSimValue(InterestOut,918)</f>
        <v>5.50525178161149E-2</v>
      </c>
      <c r="C1004" s="46" cm="1">
        <f t="array" aca="1" ref="C1004" ca="1">_xll.VoseSimValue(MortgageOut,918)</f>
        <v>0.11242786758300111</v>
      </c>
    </row>
    <row r="1005" spans="2:3" hidden="1" outlineLevel="1" x14ac:dyDescent="0.45">
      <c r="B1005" s="46" cm="1">
        <f t="array" aca="1" ref="B1005" ca="1">_xll.VoseSimValue(InterestOut,919)</f>
        <v>4.2154322663420396E-2</v>
      </c>
      <c r="C1005" s="46" cm="1">
        <f t="array" aca="1" ref="C1005" ca="1">_xll.VoseSimValue(MortgageOut,919)</f>
        <v>8.2539736430224248E-2</v>
      </c>
    </row>
    <row r="1006" spans="2:3" hidden="1" outlineLevel="1" x14ac:dyDescent="0.45">
      <c r="B1006" s="46" cm="1">
        <f t="array" aca="1" ref="B1006" ca="1">_xll.VoseSimValue(InterestOut,920)</f>
        <v>5.1002359114824258E-2</v>
      </c>
      <c r="C1006" s="46" cm="1">
        <f t="array" aca="1" ref="C1006" ca="1">_xll.VoseSimValue(MortgageOut,920)</f>
        <v>9.0692551603863761E-2</v>
      </c>
    </row>
    <row r="1007" spans="2:3" hidden="1" outlineLevel="1" x14ac:dyDescent="0.45">
      <c r="B1007" s="46" cm="1">
        <f t="array" aca="1" ref="B1007" ca="1">_xll.VoseSimValue(InterestOut,921)</f>
        <v>4.0220167126567147E-2</v>
      </c>
      <c r="C1007" s="46" cm="1">
        <f t="array" aca="1" ref="C1007" ca="1">_xll.VoseSimValue(MortgageOut,921)</f>
        <v>8.3149188486040471E-2</v>
      </c>
    </row>
    <row r="1008" spans="2:3" hidden="1" outlineLevel="1" x14ac:dyDescent="0.45">
      <c r="B1008" s="46" cm="1">
        <f t="array" aca="1" ref="B1008" ca="1">_xll.VoseSimValue(InterestOut,922)</f>
        <v>6.3943331019201244E-2</v>
      </c>
      <c r="C1008" s="46" cm="1">
        <f t="array" aca="1" ref="C1008" ca="1">_xll.VoseSimValue(MortgageOut,922)</f>
        <v>0.11139897153774125</v>
      </c>
    </row>
    <row r="1009" spans="2:3" hidden="1" outlineLevel="1" x14ac:dyDescent="0.45">
      <c r="B1009" s="46" cm="1">
        <f t="array" aca="1" ref="B1009" ca="1">_xll.VoseSimValue(InterestOut,923)</f>
        <v>6.0628822474668331E-2</v>
      </c>
      <c r="C1009" s="46" cm="1">
        <f t="array" aca="1" ref="C1009" ca="1">_xll.VoseSimValue(MortgageOut,923)</f>
        <v>0.12576384634923804</v>
      </c>
    </row>
    <row r="1010" spans="2:3" hidden="1" outlineLevel="1" x14ac:dyDescent="0.45">
      <c r="B1010" s="46" cm="1">
        <f t="array" aca="1" ref="B1010" ca="1">_xll.VoseSimValue(InterestOut,924)</f>
        <v>6.3220726706103736E-2</v>
      </c>
      <c r="C1010" s="46" cm="1">
        <f t="array" aca="1" ref="C1010" ca="1">_xll.VoseSimValue(MortgageOut,924)</f>
        <v>9.9670975258742703E-2</v>
      </c>
    </row>
    <row r="1011" spans="2:3" hidden="1" outlineLevel="1" x14ac:dyDescent="0.45">
      <c r="B1011" s="46" cm="1">
        <f t="array" aca="1" ref="B1011" ca="1">_xll.VoseSimValue(InterestOut,925)</f>
        <v>4.1237560905716023E-2</v>
      </c>
      <c r="C1011" s="46" cm="1">
        <f t="array" aca="1" ref="C1011" ca="1">_xll.VoseSimValue(MortgageOut,925)</f>
        <v>8.4163378031543418E-2</v>
      </c>
    </row>
    <row r="1012" spans="2:3" hidden="1" outlineLevel="1" x14ac:dyDescent="0.45">
      <c r="B1012" s="46" cm="1">
        <f t="array" aca="1" ref="B1012" ca="1">_xll.VoseSimValue(InterestOut,926)</f>
        <v>6.2032953801559251E-2</v>
      </c>
      <c r="C1012" s="46" cm="1">
        <f t="array" aca="1" ref="C1012" ca="1">_xll.VoseSimValue(MortgageOut,926)</f>
        <v>0.1272297971260683</v>
      </c>
    </row>
    <row r="1013" spans="2:3" hidden="1" outlineLevel="1" x14ac:dyDescent="0.45">
      <c r="B1013" s="46" cm="1">
        <f t="array" aca="1" ref="B1013" ca="1">_xll.VoseSimValue(InterestOut,927)</f>
        <v>4.4944455067776688E-2</v>
      </c>
      <c r="C1013" s="46" cm="1">
        <f t="array" aca="1" ref="C1013" ca="1">_xll.VoseSimValue(MortgageOut,927)</f>
        <v>0.10524812004811429</v>
      </c>
    </row>
    <row r="1014" spans="2:3" hidden="1" outlineLevel="1" x14ac:dyDescent="0.45">
      <c r="B1014" s="46" cm="1">
        <f t="array" aca="1" ref="B1014" ca="1">_xll.VoseSimValue(InterestOut,928)</f>
        <v>5.530013742283256E-2</v>
      </c>
      <c r="C1014" s="46" cm="1">
        <f t="array" aca="1" ref="C1014" ca="1">_xll.VoseSimValue(MortgageOut,928)</f>
        <v>0.11323695301973749</v>
      </c>
    </row>
    <row r="1015" spans="2:3" hidden="1" outlineLevel="1" x14ac:dyDescent="0.45">
      <c r="B1015" s="46" cm="1">
        <f t="array" aca="1" ref="B1015" ca="1">_xll.VoseSimValue(InterestOut,929)</f>
        <v>6.0876372323706199E-2</v>
      </c>
      <c r="C1015" s="46" cm="1">
        <f t="array" aca="1" ref="C1015" ca="1">_xll.VoseSimValue(MortgageOut,929)</f>
        <v>0.12379472459298149</v>
      </c>
    </row>
    <row r="1016" spans="2:3" hidden="1" outlineLevel="1" x14ac:dyDescent="0.45">
      <c r="B1016" s="46" cm="1">
        <f t="array" aca="1" ref="B1016" ca="1">_xll.VoseSimValue(InterestOut,930)</f>
        <v>5.3563206622276545E-2</v>
      </c>
      <c r="C1016" s="46" cm="1">
        <f t="array" aca="1" ref="C1016" ca="1">_xll.VoseSimValue(MortgageOut,930)</f>
        <v>8.8730538988533392E-2</v>
      </c>
    </row>
    <row r="1017" spans="2:3" hidden="1" outlineLevel="1" x14ac:dyDescent="0.45">
      <c r="B1017" s="46" cm="1">
        <f t="array" aca="1" ref="B1017" ca="1">_xll.VoseSimValue(InterestOut,931)</f>
        <v>4.6245612020446282E-2</v>
      </c>
      <c r="C1017" s="46" cm="1">
        <f t="array" aca="1" ref="C1017" ca="1">_xll.VoseSimValue(MortgageOut,931)</f>
        <v>8.5585302728725249E-2</v>
      </c>
    </row>
    <row r="1018" spans="2:3" hidden="1" outlineLevel="1" x14ac:dyDescent="0.45">
      <c r="B1018" s="46" cm="1">
        <f t="array" aca="1" ref="B1018" ca="1">_xll.VoseSimValue(InterestOut,932)</f>
        <v>4.5436948187580033E-2</v>
      </c>
      <c r="C1018" s="46" cm="1">
        <f t="array" aca="1" ref="C1018" ca="1">_xll.VoseSimValue(MortgageOut,932)</f>
        <v>0.11226506489546896</v>
      </c>
    </row>
    <row r="1019" spans="2:3" hidden="1" outlineLevel="1" x14ac:dyDescent="0.45">
      <c r="B1019" s="46" cm="1">
        <f t="array" aca="1" ref="B1019" ca="1">_xll.VoseSimValue(InterestOut,933)</f>
        <v>7.1241397130947737E-2</v>
      </c>
      <c r="C1019" s="46" cm="1">
        <f t="array" aca="1" ref="C1019" ca="1">_xll.VoseSimValue(MortgageOut,933)</f>
        <v>0.12220514924746673</v>
      </c>
    </row>
    <row r="1020" spans="2:3" hidden="1" outlineLevel="1" x14ac:dyDescent="0.45">
      <c r="B1020" s="46" cm="1">
        <f t="array" aca="1" ref="B1020" ca="1">_xll.VoseSimValue(InterestOut,934)</f>
        <v>7.3070260450053992E-2</v>
      </c>
      <c r="C1020" s="46" cm="1">
        <f t="array" aca="1" ref="C1020" ca="1">_xll.VoseSimValue(MortgageOut,934)</f>
        <v>0.11936553401959582</v>
      </c>
    </row>
    <row r="1021" spans="2:3" hidden="1" outlineLevel="1" x14ac:dyDescent="0.45">
      <c r="B1021" s="46" cm="1">
        <f t="array" aca="1" ref="B1021" ca="1">_xll.VoseSimValue(InterestOut,935)</f>
        <v>4.5011687802261342E-2</v>
      </c>
      <c r="C1021" s="46" cm="1">
        <f t="array" aca="1" ref="C1021" ca="1">_xll.VoseSimValue(MortgageOut,935)</f>
        <v>0.10542236811903516</v>
      </c>
    </row>
    <row r="1022" spans="2:3" hidden="1" outlineLevel="1" x14ac:dyDescent="0.45">
      <c r="B1022" s="46" cm="1">
        <f t="array" aca="1" ref="B1022" ca="1">_xll.VoseSimValue(InterestOut,936)</f>
        <v>6.0146694893517635E-2</v>
      </c>
      <c r="C1022" s="46" cm="1">
        <f t="array" aca="1" ref="C1022" ca="1">_xll.VoseSimValue(MortgageOut,936)</f>
        <v>0.1338994918651171</v>
      </c>
    </row>
    <row r="1023" spans="2:3" hidden="1" outlineLevel="1" x14ac:dyDescent="0.45">
      <c r="B1023" s="46" cm="1">
        <f t="array" aca="1" ref="B1023" ca="1">_xll.VoseSimValue(InterestOut,937)</f>
        <v>5.2164524589899126E-2</v>
      </c>
      <c r="C1023" s="46" cm="1">
        <f t="array" aca="1" ref="C1023" ca="1">_xll.VoseSimValue(MortgageOut,937)</f>
        <v>0.10491064080144433</v>
      </c>
    </row>
    <row r="1024" spans="2:3" hidden="1" outlineLevel="1" x14ac:dyDescent="0.45">
      <c r="B1024" s="46" cm="1">
        <f t="array" aca="1" ref="B1024" ca="1">_xll.VoseSimValue(InterestOut,938)</f>
        <v>5.1316670681305056E-2</v>
      </c>
      <c r="C1024" s="46" cm="1">
        <f t="array" aca="1" ref="C1024" ca="1">_xll.VoseSimValue(MortgageOut,938)</f>
        <v>8.8655544484410778E-2</v>
      </c>
    </row>
    <row r="1025" spans="2:3" hidden="1" outlineLevel="1" x14ac:dyDescent="0.45">
      <c r="B1025" s="46" cm="1">
        <f t="array" aca="1" ref="B1025" ca="1">_xll.VoseSimValue(InterestOut,939)</f>
        <v>4.6352342487732054E-2</v>
      </c>
      <c r="C1025" s="46" cm="1">
        <f t="array" aca="1" ref="C1025" ca="1">_xll.VoseSimValue(MortgageOut,939)</f>
        <v>0.10987083685747887</v>
      </c>
    </row>
    <row r="1026" spans="2:3" hidden="1" outlineLevel="1" x14ac:dyDescent="0.45">
      <c r="B1026" s="46" cm="1">
        <f t="array" aca="1" ref="B1026" ca="1">_xll.VoseSimValue(InterestOut,940)</f>
        <v>5.9176708777670603E-2</v>
      </c>
      <c r="C1026" s="46" cm="1">
        <f t="array" aca="1" ref="C1026" ca="1">_xll.VoseSimValue(MortgageOut,940)</f>
        <v>0.11544034238175174</v>
      </c>
    </row>
    <row r="1027" spans="2:3" hidden="1" outlineLevel="1" x14ac:dyDescent="0.45">
      <c r="B1027" s="46" cm="1">
        <f t="array" aca="1" ref="B1027" ca="1">_xll.VoseSimValue(InterestOut,941)</f>
        <v>6.5089122134122629E-2</v>
      </c>
      <c r="C1027" s="46" cm="1">
        <f t="array" aca="1" ref="C1027" ca="1">_xll.VoseSimValue(MortgageOut,941)</f>
        <v>0.11467559287348827</v>
      </c>
    </row>
    <row r="1028" spans="2:3" hidden="1" outlineLevel="1" x14ac:dyDescent="0.45">
      <c r="B1028" s="46" cm="1">
        <f t="array" aca="1" ref="B1028" ca="1">_xll.VoseSimValue(InterestOut,942)</f>
        <v>4.0406554911722015E-2</v>
      </c>
      <c r="C1028" s="46" cm="1">
        <f t="array" aca="1" ref="C1028" ca="1">_xll.VoseSimValue(MortgageOut,942)</f>
        <v>9.1045867752318238E-2</v>
      </c>
    </row>
    <row r="1029" spans="2:3" hidden="1" outlineLevel="1" x14ac:dyDescent="0.45">
      <c r="B1029" s="46" cm="1">
        <f t="array" aca="1" ref="B1029" ca="1">_xll.VoseSimValue(InterestOut,943)</f>
        <v>4.7760414736362021E-2</v>
      </c>
      <c r="C1029" s="46" cm="1">
        <f t="array" aca="1" ref="C1029" ca="1">_xll.VoseSimValue(MortgageOut,943)</f>
        <v>0.10390735842802883</v>
      </c>
    </row>
    <row r="1030" spans="2:3" hidden="1" outlineLevel="1" x14ac:dyDescent="0.45">
      <c r="B1030" s="46" cm="1">
        <f t="array" aca="1" ref="B1030" ca="1">_xll.VoseSimValue(InterestOut,944)</f>
        <v>6.5695198234285601E-2</v>
      </c>
      <c r="C1030" s="46" cm="1">
        <f t="array" aca="1" ref="C1030" ca="1">_xll.VoseSimValue(MortgageOut,944)</f>
        <v>0.12726989111943735</v>
      </c>
    </row>
    <row r="1031" spans="2:3" hidden="1" outlineLevel="1" x14ac:dyDescent="0.45">
      <c r="B1031" s="46" cm="1">
        <f t="array" aca="1" ref="B1031" ca="1">_xll.VoseSimValue(InterestOut,945)</f>
        <v>4.9530302492834716E-2</v>
      </c>
      <c r="C1031" s="46" cm="1">
        <f t="array" aca="1" ref="C1031" ca="1">_xll.VoseSimValue(MortgageOut,945)</f>
        <v>9.3999609125894029E-2</v>
      </c>
    </row>
    <row r="1032" spans="2:3" hidden="1" outlineLevel="1" x14ac:dyDescent="0.45">
      <c r="B1032" s="46" cm="1">
        <f t="array" aca="1" ref="B1032" ca="1">_xll.VoseSimValue(InterestOut,946)</f>
        <v>3.6647352585511814E-2</v>
      </c>
      <c r="C1032" s="46" cm="1">
        <f t="array" aca="1" ref="C1032" ca="1">_xll.VoseSimValue(MortgageOut,946)</f>
        <v>9.7131470883728435E-2</v>
      </c>
    </row>
    <row r="1033" spans="2:3" hidden="1" outlineLevel="1" x14ac:dyDescent="0.45">
      <c r="B1033" s="46" cm="1">
        <f t="array" aca="1" ref="B1033" ca="1">_xll.VoseSimValue(InterestOut,947)</f>
        <v>5.1597988381096416E-2</v>
      </c>
      <c r="C1033" s="46" cm="1">
        <f t="array" aca="1" ref="C1033" ca="1">_xll.VoseSimValue(MortgageOut,947)</f>
        <v>0.11507680709356073</v>
      </c>
    </row>
    <row r="1034" spans="2:3" hidden="1" outlineLevel="1" x14ac:dyDescent="0.45">
      <c r="B1034" s="46" cm="1">
        <f t="array" aca="1" ref="B1034" ca="1">_xll.VoseSimValue(InterestOut,948)</f>
        <v>4.3895450595911059E-2</v>
      </c>
      <c r="C1034" s="46" cm="1">
        <f t="array" aca="1" ref="C1034" ca="1">_xll.VoseSimValue(MortgageOut,948)</f>
        <v>8.9981042205833028E-2</v>
      </c>
    </row>
    <row r="1035" spans="2:3" hidden="1" outlineLevel="1" x14ac:dyDescent="0.45">
      <c r="B1035" s="46" cm="1">
        <f t="array" aca="1" ref="B1035" ca="1">_xll.VoseSimValue(InterestOut,949)</f>
        <v>6.6876936240665499E-2</v>
      </c>
      <c r="C1035" s="46" cm="1">
        <f t="array" aca="1" ref="C1035" ca="1">_xll.VoseSimValue(MortgageOut,949)</f>
        <v>0.13135224886091551</v>
      </c>
    </row>
    <row r="1036" spans="2:3" hidden="1" outlineLevel="1" x14ac:dyDescent="0.45">
      <c r="B1036" s="46" cm="1">
        <f t="array" aca="1" ref="B1036" ca="1">_xll.VoseSimValue(InterestOut,950)</f>
        <v>6.1811056017545572E-2</v>
      </c>
      <c r="C1036" s="46" cm="1">
        <f t="array" aca="1" ref="C1036" ca="1">_xll.VoseSimValue(MortgageOut,950)</f>
        <v>0.13288960210392572</v>
      </c>
    </row>
    <row r="1037" spans="2:3" hidden="1" outlineLevel="1" x14ac:dyDescent="0.45">
      <c r="B1037" s="46" cm="1">
        <f t="array" aca="1" ref="B1037" ca="1">_xll.VoseSimValue(InterestOut,951)</f>
        <v>3.5684432150113077E-2</v>
      </c>
      <c r="C1037" s="46" cm="1">
        <f t="array" aca="1" ref="C1037" ca="1">_xll.VoseSimValue(MortgageOut,951)</f>
        <v>8.8311574312806146E-2</v>
      </c>
    </row>
    <row r="1038" spans="2:3" hidden="1" outlineLevel="1" x14ac:dyDescent="0.45">
      <c r="B1038" s="46" cm="1">
        <f t="array" aca="1" ref="B1038" ca="1">_xll.VoseSimValue(InterestOut,952)</f>
        <v>4.6107168323729658E-2</v>
      </c>
      <c r="C1038" s="46" cm="1">
        <f t="array" aca="1" ref="C1038" ca="1">_xll.VoseSimValue(MortgageOut,952)</f>
        <v>0.10744380553579508</v>
      </c>
    </row>
    <row r="1039" spans="2:3" hidden="1" outlineLevel="1" x14ac:dyDescent="0.45">
      <c r="B1039" s="46" cm="1">
        <f t="array" aca="1" ref="B1039" ca="1">_xll.VoseSimValue(InterestOut,953)</f>
        <v>5.7364221475662114E-2</v>
      </c>
      <c r="C1039" s="46" cm="1">
        <f t="array" aca="1" ref="C1039" ca="1">_xll.VoseSimValue(MortgageOut,953)</f>
        <v>0.10538112437601825</v>
      </c>
    </row>
    <row r="1040" spans="2:3" hidden="1" outlineLevel="1" x14ac:dyDescent="0.45">
      <c r="B1040" s="46" cm="1">
        <f t="array" aca="1" ref="B1040" ca="1">_xll.VoseSimValue(InterestOut,954)</f>
        <v>5.0860970018659482E-2</v>
      </c>
      <c r="C1040" s="46" cm="1">
        <f t="array" aca="1" ref="C1040" ca="1">_xll.VoseSimValue(MortgageOut,954)</f>
        <v>9.6492146341878512E-2</v>
      </c>
    </row>
    <row r="1041" spans="2:3" hidden="1" outlineLevel="1" x14ac:dyDescent="0.45">
      <c r="B1041" s="46" cm="1">
        <f t="array" aca="1" ref="B1041" ca="1">_xll.VoseSimValue(InterestOut,955)</f>
        <v>6.4026567091222591E-2</v>
      </c>
      <c r="C1041" s="46" cm="1">
        <f t="array" aca="1" ref="C1041" ca="1">_xll.VoseSimValue(MortgageOut,955)</f>
        <v>0.11264449980347192</v>
      </c>
    </row>
    <row r="1042" spans="2:3" hidden="1" outlineLevel="1" x14ac:dyDescent="0.45">
      <c r="B1042" s="46" cm="1">
        <f t="array" aca="1" ref="B1042" ca="1">_xll.VoseSimValue(InterestOut,956)</f>
        <v>5.5367067371397516E-2</v>
      </c>
      <c r="C1042" s="46" cm="1">
        <f t="array" aca="1" ref="C1042" ca="1">_xll.VoseSimValue(MortgageOut,956)</f>
        <v>0.12239627144333633</v>
      </c>
    </row>
    <row r="1043" spans="2:3" hidden="1" outlineLevel="1" x14ac:dyDescent="0.45">
      <c r="B1043" s="46" cm="1">
        <f t="array" aca="1" ref="B1043" ca="1">_xll.VoseSimValue(InterestOut,957)</f>
        <v>3.5393122693974391E-2</v>
      </c>
      <c r="C1043" s="46" cm="1">
        <f t="array" aca="1" ref="C1043" ca="1">_xll.VoseSimValue(MortgageOut,957)</f>
        <v>8.864148878140897E-2</v>
      </c>
    </row>
    <row r="1044" spans="2:3" hidden="1" outlineLevel="1" x14ac:dyDescent="0.45">
      <c r="B1044" s="46" cm="1">
        <f t="array" aca="1" ref="B1044" ca="1">_xll.VoseSimValue(InterestOut,958)</f>
        <v>4.1135564521084439E-2</v>
      </c>
      <c r="C1044" s="46" cm="1">
        <f t="array" aca="1" ref="C1044" ca="1">_xll.VoseSimValue(MortgageOut,958)</f>
        <v>9.3495165576362366E-2</v>
      </c>
    </row>
    <row r="1045" spans="2:3" hidden="1" outlineLevel="1" x14ac:dyDescent="0.45">
      <c r="B1045" s="46" cm="1">
        <f t="array" aca="1" ref="B1045" ca="1">_xll.VoseSimValue(InterestOut,959)</f>
        <v>5.1856324078963859E-2</v>
      </c>
      <c r="C1045" s="46" cm="1">
        <f t="array" aca="1" ref="C1045" ca="1">_xll.VoseSimValue(MortgageOut,959)</f>
        <v>9.3000053903444735E-2</v>
      </c>
    </row>
    <row r="1046" spans="2:3" hidden="1" outlineLevel="1" x14ac:dyDescent="0.45">
      <c r="B1046" s="46" cm="1">
        <f t="array" aca="1" ref="B1046" ca="1">_xll.VoseSimValue(InterestOut,960)</f>
        <v>4.6113435387041504E-2</v>
      </c>
      <c r="C1046" s="46" cm="1">
        <f t="array" aca="1" ref="C1046" ca="1">_xll.VoseSimValue(MortgageOut,960)</f>
        <v>9.9179868264127752E-2</v>
      </c>
    </row>
    <row r="1047" spans="2:3" hidden="1" outlineLevel="1" x14ac:dyDescent="0.45">
      <c r="B1047" s="46" cm="1">
        <f t="array" aca="1" ref="B1047" ca="1">_xll.VoseSimValue(InterestOut,961)</f>
        <v>4.6667598096245766E-2</v>
      </c>
      <c r="C1047" s="46" cm="1">
        <f t="array" aca="1" ref="C1047" ca="1">_xll.VoseSimValue(MortgageOut,961)</f>
        <v>9.9525852409547533E-2</v>
      </c>
    </row>
    <row r="1048" spans="2:3" hidden="1" outlineLevel="1" x14ac:dyDescent="0.45">
      <c r="B1048" s="46" cm="1">
        <f t="array" aca="1" ref="B1048" ca="1">_xll.VoseSimValue(InterestOut,962)</f>
        <v>6.3820387656425059E-2</v>
      </c>
      <c r="C1048" s="46" cm="1">
        <f t="array" aca="1" ref="C1048" ca="1">_xll.VoseSimValue(MortgageOut,962)</f>
        <v>0.12437025864120854</v>
      </c>
    </row>
    <row r="1049" spans="2:3" hidden="1" outlineLevel="1" x14ac:dyDescent="0.45">
      <c r="B1049" s="46" cm="1">
        <f t="array" aca="1" ref="B1049" ca="1">_xll.VoseSimValue(InterestOut,963)</f>
        <v>6.2537666197361036E-2</v>
      </c>
      <c r="C1049" s="46" cm="1">
        <f t="array" aca="1" ref="C1049" ca="1">_xll.VoseSimValue(MortgageOut,963)</f>
        <v>0.10952441507056761</v>
      </c>
    </row>
    <row r="1050" spans="2:3" hidden="1" outlineLevel="1" x14ac:dyDescent="0.45">
      <c r="B1050" s="46" cm="1">
        <f t="array" aca="1" ref="B1050" ca="1">_xll.VoseSimValue(InterestOut,964)</f>
        <v>6.3816478767081408E-2</v>
      </c>
      <c r="C1050" s="46" cm="1">
        <f t="array" aca="1" ref="C1050" ca="1">_xll.VoseSimValue(MortgageOut,964)</f>
        <v>0.13015923244651373</v>
      </c>
    </row>
    <row r="1051" spans="2:3" hidden="1" outlineLevel="1" x14ac:dyDescent="0.45">
      <c r="B1051" s="46" cm="1">
        <f t="array" aca="1" ref="B1051" ca="1">_xll.VoseSimValue(InterestOut,965)</f>
        <v>5.2829763966383725E-2</v>
      </c>
      <c r="C1051" s="46" cm="1">
        <f t="array" aca="1" ref="C1051" ca="1">_xll.VoseSimValue(MortgageOut,965)</f>
        <v>0.10138317896049343</v>
      </c>
    </row>
    <row r="1052" spans="2:3" hidden="1" outlineLevel="1" x14ac:dyDescent="0.45">
      <c r="B1052" s="46" cm="1">
        <f t="array" aca="1" ref="B1052" ca="1">_xll.VoseSimValue(InterestOut,966)</f>
        <v>5.1675315758575632E-2</v>
      </c>
      <c r="C1052" s="46" cm="1">
        <f t="array" aca="1" ref="C1052" ca="1">_xll.VoseSimValue(MortgageOut,966)</f>
        <v>0.10871824121404469</v>
      </c>
    </row>
    <row r="1053" spans="2:3" hidden="1" outlineLevel="1" x14ac:dyDescent="0.45">
      <c r="B1053" s="46" cm="1">
        <f t="array" aca="1" ref="B1053" ca="1">_xll.VoseSimValue(InterestOut,967)</f>
        <v>5.6547896071226789E-2</v>
      </c>
      <c r="C1053" s="46" cm="1">
        <f t="array" aca="1" ref="C1053" ca="1">_xll.VoseSimValue(MortgageOut,967)</f>
        <v>0.10453154637736983</v>
      </c>
    </row>
    <row r="1054" spans="2:3" hidden="1" outlineLevel="1" x14ac:dyDescent="0.45">
      <c r="B1054" s="46" cm="1">
        <f t="array" aca="1" ref="B1054" ca="1">_xll.VoseSimValue(InterestOut,968)</f>
        <v>4.5024557680186164E-2</v>
      </c>
      <c r="C1054" s="46" cm="1">
        <f t="array" aca="1" ref="C1054" ca="1">_xll.VoseSimValue(MortgageOut,968)</f>
        <v>8.5180302776808978E-2</v>
      </c>
    </row>
    <row r="1055" spans="2:3" hidden="1" outlineLevel="1" x14ac:dyDescent="0.45">
      <c r="B1055" s="46" cm="1">
        <f t="array" aca="1" ref="B1055" ca="1">_xll.VoseSimValue(InterestOut,969)</f>
        <v>5.0035342651536134E-2</v>
      </c>
      <c r="C1055" s="46" cm="1">
        <f t="array" aca="1" ref="C1055" ca="1">_xll.VoseSimValue(MortgageOut,969)</f>
        <v>0.1129796846814365</v>
      </c>
    </row>
    <row r="1056" spans="2:3" hidden="1" outlineLevel="1" x14ac:dyDescent="0.45">
      <c r="B1056" s="46" cm="1">
        <f t="array" aca="1" ref="B1056" ca="1">_xll.VoseSimValue(InterestOut,970)</f>
        <v>6.3498211592674436E-2</v>
      </c>
      <c r="C1056" s="46" cm="1">
        <f t="array" aca="1" ref="C1056" ca="1">_xll.VoseSimValue(MortgageOut,970)</f>
        <v>0.12342577176808875</v>
      </c>
    </row>
    <row r="1057" spans="2:3" hidden="1" outlineLevel="1" x14ac:dyDescent="0.45">
      <c r="B1057" s="46" cm="1">
        <f t="array" aca="1" ref="B1057" ca="1">_xll.VoseSimValue(InterestOut,971)</f>
        <v>5.4748033084253855E-2</v>
      </c>
      <c r="C1057" s="46" cm="1">
        <f t="array" aca="1" ref="C1057" ca="1">_xll.VoseSimValue(MortgageOut,971)</f>
        <v>9.7746620882371793E-2</v>
      </c>
    </row>
    <row r="1058" spans="2:3" hidden="1" outlineLevel="1" x14ac:dyDescent="0.45">
      <c r="B1058" s="46" cm="1">
        <f t="array" aca="1" ref="B1058" ca="1">_xll.VoseSimValue(InterestOut,972)</f>
        <v>5.12204018857874E-2</v>
      </c>
      <c r="C1058" s="46" cm="1">
        <f t="array" aca="1" ref="C1058" ca="1">_xll.VoseSimValue(MortgageOut,972)</f>
        <v>0.10296751649589181</v>
      </c>
    </row>
    <row r="1059" spans="2:3" hidden="1" outlineLevel="1" x14ac:dyDescent="0.45">
      <c r="B1059" s="46" cm="1">
        <f t="array" aca="1" ref="B1059" ca="1">_xll.VoseSimValue(InterestOut,973)</f>
        <v>4.5676449727721044E-2</v>
      </c>
      <c r="C1059" s="46" cm="1">
        <f t="array" aca="1" ref="C1059" ca="1">_xll.VoseSimValue(MortgageOut,973)</f>
        <v>9.0833631248780966E-2</v>
      </c>
    </row>
    <row r="1060" spans="2:3" hidden="1" outlineLevel="1" x14ac:dyDescent="0.45">
      <c r="B1060" s="46" cm="1">
        <f t="array" aca="1" ref="B1060" ca="1">_xll.VoseSimValue(InterestOut,974)</f>
        <v>4.6870132403755552E-2</v>
      </c>
      <c r="C1060" s="46" cm="1">
        <f t="array" aca="1" ref="C1060" ca="1">_xll.VoseSimValue(MortgageOut,974)</f>
        <v>9.6721267907578581E-2</v>
      </c>
    </row>
    <row r="1061" spans="2:3" hidden="1" outlineLevel="1" x14ac:dyDescent="0.45">
      <c r="B1061" s="46" cm="1">
        <f t="array" aca="1" ref="B1061" ca="1">_xll.VoseSimValue(InterestOut,975)</f>
        <v>3.3476608865053478E-2</v>
      </c>
      <c r="C1061" s="46" cm="1">
        <f t="array" aca="1" ref="C1061" ca="1">_xll.VoseSimValue(MortgageOut,975)</f>
        <v>7.5767097125474386E-2</v>
      </c>
    </row>
    <row r="1062" spans="2:3" hidden="1" outlineLevel="1" x14ac:dyDescent="0.45">
      <c r="B1062" s="46" cm="1">
        <f t="array" aca="1" ref="B1062" ca="1">_xll.VoseSimValue(InterestOut,976)</f>
        <v>6.4215384794206826E-2</v>
      </c>
      <c r="C1062" s="46" cm="1">
        <f t="array" aca="1" ref="C1062" ca="1">_xll.VoseSimValue(MortgageOut,976)</f>
        <v>0.11206036332215889</v>
      </c>
    </row>
    <row r="1063" spans="2:3" hidden="1" outlineLevel="1" x14ac:dyDescent="0.45">
      <c r="B1063" s="46" cm="1">
        <f t="array" aca="1" ref="B1063" ca="1">_xll.VoseSimValue(InterestOut,977)</f>
        <v>5.3322858306823304E-2</v>
      </c>
      <c r="C1063" s="46" cm="1">
        <f t="array" aca="1" ref="C1063" ca="1">_xll.VoseSimValue(MortgageOut,977)</f>
        <v>8.6393461869193847E-2</v>
      </c>
    </row>
    <row r="1064" spans="2:3" hidden="1" outlineLevel="1" x14ac:dyDescent="0.45">
      <c r="B1064" s="46" cm="1">
        <f t="array" aca="1" ref="B1064" ca="1">_xll.VoseSimValue(InterestOut,978)</f>
        <v>4.3155591818215079E-2</v>
      </c>
      <c r="C1064" s="46" cm="1">
        <f t="array" aca="1" ref="C1064" ca="1">_xll.VoseSimValue(MortgageOut,978)</f>
        <v>9.4711633530486325E-2</v>
      </c>
    </row>
    <row r="1065" spans="2:3" hidden="1" outlineLevel="1" x14ac:dyDescent="0.45">
      <c r="B1065" s="46" cm="1">
        <f t="array" aca="1" ref="B1065" ca="1">_xll.VoseSimValue(InterestOut,979)</f>
        <v>4.6269213150265852E-2</v>
      </c>
      <c r="C1065" s="46" cm="1">
        <f t="array" aca="1" ref="C1065" ca="1">_xll.VoseSimValue(MortgageOut,979)</f>
        <v>9.6846295009707498E-2</v>
      </c>
    </row>
    <row r="1066" spans="2:3" hidden="1" outlineLevel="1" x14ac:dyDescent="0.45">
      <c r="B1066" s="46" cm="1">
        <f t="array" aca="1" ref="B1066" ca="1">_xll.VoseSimValue(InterestOut,980)</f>
        <v>6.0896262799444545E-2</v>
      </c>
      <c r="C1066" s="46" cm="1">
        <f t="array" aca="1" ref="C1066" ca="1">_xll.VoseSimValue(MortgageOut,980)</f>
        <v>0.1263832903314201</v>
      </c>
    </row>
    <row r="1067" spans="2:3" hidden="1" outlineLevel="1" x14ac:dyDescent="0.45">
      <c r="B1067" s="46" cm="1">
        <f t="array" aca="1" ref="B1067" ca="1">_xll.VoseSimValue(InterestOut,981)</f>
        <v>5.172959383562542E-2</v>
      </c>
      <c r="C1067" s="46" cm="1">
        <f t="array" aca="1" ref="C1067" ca="1">_xll.VoseSimValue(MortgageOut,981)</f>
        <v>0.11529406768324943</v>
      </c>
    </row>
    <row r="1068" spans="2:3" hidden="1" outlineLevel="1" x14ac:dyDescent="0.45">
      <c r="B1068" s="46" cm="1">
        <f t="array" aca="1" ref="B1068" ca="1">_xll.VoseSimValue(InterestOut,982)</f>
        <v>6.1660714007866789E-2</v>
      </c>
      <c r="C1068" s="46" cm="1">
        <f t="array" aca="1" ref="C1068" ca="1">_xll.VoseSimValue(MortgageOut,982)</f>
        <v>0.13126304056378599</v>
      </c>
    </row>
    <row r="1069" spans="2:3" hidden="1" outlineLevel="1" x14ac:dyDescent="0.45">
      <c r="B1069" s="46" cm="1">
        <f t="array" aca="1" ref="B1069" ca="1">_xll.VoseSimValue(InterestOut,983)</f>
        <v>6.541693024880843E-2</v>
      </c>
      <c r="C1069" s="46" cm="1">
        <f t="array" aca="1" ref="C1069" ca="1">_xll.VoseSimValue(MortgageOut,983)</f>
        <v>0.13283958545986574</v>
      </c>
    </row>
    <row r="1070" spans="2:3" hidden="1" outlineLevel="1" x14ac:dyDescent="0.45">
      <c r="B1070" s="46" cm="1">
        <f t="array" aca="1" ref="B1070" ca="1">_xll.VoseSimValue(InterestOut,984)</f>
        <v>5.1876072252612988E-2</v>
      </c>
      <c r="C1070" s="46" cm="1">
        <f t="array" aca="1" ref="C1070" ca="1">_xll.VoseSimValue(MortgageOut,984)</f>
        <v>9.8612681420853734E-2</v>
      </c>
    </row>
    <row r="1071" spans="2:3" hidden="1" outlineLevel="1" x14ac:dyDescent="0.45">
      <c r="B1071" s="46" cm="1">
        <f t="array" aca="1" ref="B1071" ca="1">_xll.VoseSimValue(InterestOut,985)</f>
        <v>4.9343518268498858E-2</v>
      </c>
      <c r="C1071" s="46" cm="1">
        <f t="array" aca="1" ref="C1071" ca="1">_xll.VoseSimValue(MortgageOut,985)</f>
        <v>0.10182310381060571</v>
      </c>
    </row>
    <row r="1072" spans="2:3" hidden="1" outlineLevel="1" x14ac:dyDescent="0.45">
      <c r="B1072" s="46" cm="1">
        <f t="array" aca="1" ref="B1072" ca="1">_xll.VoseSimValue(InterestOut,986)</f>
        <v>4.1766394020507192E-2</v>
      </c>
      <c r="C1072" s="46" cm="1">
        <f t="array" aca="1" ref="C1072" ca="1">_xll.VoseSimValue(MortgageOut,986)</f>
        <v>0.10345859195884038</v>
      </c>
    </row>
    <row r="1073" spans="2:3" hidden="1" outlineLevel="1" x14ac:dyDescent="0.45">
      <c r="B1073" s="46" cm="1">
        <f t="array" aca="1" ref="B1073" ca="1">_xll.VoseSimValue(InterestOut,987)</f>
        <v>4.4453671982685433E-2</v>
      </c>
      <c r="C1073" s="46" cm="1">
        <f t="array" aca="1" ref="C1073" ca="1">_xll.VoseSimValue(MortgageOut,987)</f>
        <v>9.4760685840621361E-2</v>
      </c>
    </row>
    <row r="1074" spans="2:3" hidden="1" outlineLevel="1" x14ac:dyDescent="0.45">
      <c r="B1074" s="46" cm="1">
        <f t="array" aca="1" ref="B1074" ca="1">_xll.VoseSimValue(InterestOut,988)</f>
        <v>6.7640166423700326E-2</v>
      </c>
      <c r="C1074" s="46" cm="1">
        <f t="array" aca="1" ref="C1074" ca="1">_xll.VoseSimValue(MortgageOut,988)</f>
        <v>0.12057344255773245</v>
      </c>
    </row>
    <row r="1075" spans="2:3" hidden="1" outlineLevel="1" x14ac:dyDescent="0.45">
      <c r="B1075" s="46" cm="1">
        <f t="array" aca="1" ref="B1075" ca="1">_xll.VoseSimValue(InterestOut,989)</f>
        <v>4.7886631600066606E-2</v>
      </c>
      <c r="C1075" s="46" cm="1">
        <f t="array" aca="1" ref="C1075" ca="1">_xll.VoseSimValue(MortgageOut,989)</f>
        <v>0.11179362682438951</v>
      </c>
    </row>
    <row r="1076" spans="2:3" hidden="1" outlineLevel="1" x14ac:dyDescent="0.45">
      <c r="B1076" s="46" cm="1">
        <f t="array" aca="1" ref="B1076" ca="1">_xll.VoseSimValue(InterestOut,990)</f>
        <v>3.7502428443318012E-2</v>
      </c>
      <c r="C1076" s="46" cm="1">
        <f t="array" aca="1" ref="C1076" ca="1">_xll.VoseSimValue(MortgageOut,990)</f>
        <v>8.314378867575771E-2</v>
      </c>
    </row>
    <row r="1077" spans="2:3" hidden="1" outlineLevel="1" x14ac:dyDescent="0.45">
      <c r="B1077" s="46" cm="1">
        <f t="array" aca="1" ref="B1077" ca="1">_xll.VoseSimValue(InterestOut,991)</f>
        <v>6.6390202558651551E-2</v>
      </c>
      <c r="C1077" s="46" cm="1">
        <f t="array" aca="1" ref="C1077" ca="1">_xll.VoseSimValue(MortgageOut,991)</f>
        <v>0.12045930362400434</v>
      </c>
    </row>
    <row r="1078" spans="2:3" hidden="1" outlineLevel="1" x14ac:dyDescent="0.45">
      <c r="B1078" s="46" cm="1">
        <f t="array" aca="1" ref="B1078" ca="1">_xll.VoseSimValue(InterestOut,992)</f>
        <v>6.3799452706825244E-2</v>
      </c>
      <c r="C1078" s="46" cm="1">
        <f t="array" aca="1" ref="C1078" ca="1">_xll.VoseSimValue(MortgageOut,992)</f>
        <v>0.10931538484449105</v>
      </c>
    </row>
    <row r="1079" spans="2:3" hidden="1" outlineLevel="1" x14ac:dyDescent="0.45">
      <c r="B1079" s="46" cm="1">
        <f t="array" aca="1" ref="B1079" ca="1">_xll.VoseSimValue(InterestOut,993)</f>
        <v>6.6733779508159979E-2</v>
      </c>
      <c r="C1079" s="46" cm="1">
        <f t="array" aca="1" ref="C1079" ca="1">_xll.VoseSimValue(MortgageOut,993)</f>
        <v>0.12140168545174598</v>
      </c>
    </row>
    <row r="1080" spans="2:3" hidden="1" outlineLevel="1" x14ac:dyDescent="0.45">
      <c r="B1080" s="46" cm="1">
        <f t="array" aca="1" ref="B1080" ca="1">_xll.VoseSimValue(InterestOut,994)</f>
        <v>5.32573763358146E-2</v>
      </c>
      <c r="C1080" s="46" cm="1">
        <f t="array" aca="1" ref="C1080" ca="1">_xll.VoseSimValue(MortgageOut,994)</f>
        <v>0.11042546484925461</v>
      </c>
    </row>
    <row r="1081" spans="2:3" hidden="1" outlineLevel="1" x14ac:dyDescent="0.45">
      <c r="B1081" s="46" cm="1">
        <f t="array" aca="1" ref="B1081" ca="1">_xll.VoseSimValue(InterestOut,995)</f>
        <v>6.1887730208589488E-2</v>
      </c>
      <c r="C1081" s="46" cm="1">
        <f t="array" aca="1" ref="C1081" ca="1">_xll.VoseSimValue(MortgageOut,995)</f>
        <v>0.11965327412581298</v>
      </c>
    </row>
    <row r="1082" spans="2:3" hidden="1" outlineLevel="1" x14ac:dyDescent="0.45">
      <c r="B1082" s="46" cm="1">
        <f t="array" aca="1" ref="B1082" ca="1">_xll.VoseSimValue(InterestOut,996)</f>
        <v>4.8087400983466713E-2</v>
      </c>
      <c r="C1082" s="46" cm="1">
        <f t="array" aca="1" ref="C1082" ca="1">_xll.VoseSimValue(MortgageOut,996)</f>
        <v>9.8251821672623252E-2</v>
      </c>
    </row>
    <row r="1083" spans="2:3" hidden="1" outlineLevel="1" x14ac:dyDescent="0.45">
      <c r="B1083" s="46" cm="1">
        <f t="array" aca="1" ref="B1083" ca="1">_xll.VoseSimValue(InterestOut,997)</f>
        <v>6.564555804324694E-2</v>
      </c>
      <c r="C1083" s="46" cm="1">
        <f t="array" aca="1" ref="C1083" ca="1">_xll.VoseSimValue(MortgageOut,997)</f>
        <v>0.10313277810312901</v>
      </c>
    </row>
    <row r="1084" spans="2:3" hidden="1" outlineLevel="1" x14ac:dyDescent="0.45">
      <c r="B1084" s="46" cm="1">
        <f t="array" aca="1" ref="B1084" ca="1">_xll.VoseSimValue(InterestOut,998)</f>
        <v>5.510511059215295E-2</v>
      </c>
      <c r="C1084" s="46" cm="1">
        <f t="array" aca="1" ref="C1084" ca="1">_xll.VoseSimValue(MortgageOut,998)</f>
        <v>0.11869471362072308</v>
      </c>
    </row>
    <row r="1085" spans="2:3" hidden="1" outlineLevel="1" x14ac:dyDescent="0.45">
      <c r="B1085" s="46" cm="1">
        <f t="array" aca="1" ref="B1085" ca="1">_xll.VoseSimValue(InterestOut,999)</f>
        <v>4.3874235056941054E-2</v>
      </c>
      <c r="C1085" s="46" cm="1">
        <f t="array" aca="1" ref="C1085" ca="1">_xll.VoseSimValue(MortgageOut,999)</f>
        <v>0.10581585424394332</v>
      </c>
    </row>
    <row r="1086" spans="2:3" hidden="1" outlineLevel="1" x14ac:dyDescent="0.45">
      <c r="B1086" s="46" cm="1">
        <f t="array" aca="1" ref="B1086" ca="1">_xll.VoseSimValue(InterestOut,1000)</f>
        <v>4.054083123855115E-2</v>
      </c>
      <c r="C1086" s="46" cm="1">
        <f t="array" aca="1" ref="C1086" ca="1">_xll.VoseSimValue(MortgageOut,1000)</f>
        <v>9.0790303094229863E-2</v>
      </c>
    </row>
  </sheetData>
  <conditionalFormatting sqref="D35:D38">
    <cfRule type="expression" dxfId="3" priority="1">
      <formula>D35="CHECK"</formula>
    </cfRule>
  </conditionalFormatting>
  <dataValidations count="1">
    <dataValidation type="custom" showErrorMessage="1" errorTitle="Range" error="Minimum ≤ most likely ≤ maximum." sqref="D10:F12" xr:uid="{00000000-0002-0000-0200-000000000000}">
      <formula1>AND($D10&lt;=$E10,$E10&lt;=$F10)</formula1>
    </dataValidation>
  </dataValidations>
  <hyperlinks>
    <hyperlink ref="B4" location="'Inputs'!A1" display="◂  Inputs" xr:uid="{00000000-0004-0000-0200-000000000000}"/>
    <hyperlink ref="H4" location="'Results'!A1" display="Next:  Results  ▸" xr:uid="{00000000-0004-0000-0200-000001000000}"/>
  </hyperlinks>
  <printOptions horizontalCentered="1"/>
  <pageMargins left="0.4" right="0.4" top="0.5" bottom="0.6" header="0.25" footer="0.25"/>
  <pageSetup paperSize="9" scale="82" fitToHeight="0" orientation="landscape" r:id="rId1"/>
  <headerFooter>
    <oddFooter>&amp;L&amp;K3F5876&amp;8&amp;F · &amp;A&amp;R&amp;K3F5876&amp;8Page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87"/>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153</v>
      </c>
      <c r="C3" s="1"/>
      <c r="D3" s="1"/>
      <c r="E3" s="1"/>
      <c r="F3" s="1"/>
      <c r="G3" s="1"/>
      <c r="H3" s="1"/>
      <c r="I3" s="1"/>
      <c r="J3" s="1"/>
      <c r="K3" s="1"/>
      <c r="L3" s="1"/>
      <c r="M3" s="1"/>
      <c r="N3" s="1"/>
      <c r="O3" s="1"/>
      <c r="P3" s="1"/>
      <c r="Q3" s="1"/>
      <c r="R3" s="1"/>
    </row>
    <row r="4" spans="1:18" ht="20" customHeight="1" x14ac:dyDescent="0.45">
      <c r="A4" s="5"/>
      <c r="B4" s="22" t="s">
        <v>154</v>
      </c>
      <c r="C4" s="5"/>
      <c r="D4" s="5"/>
      <c r="E4" s="5"/>
      <c r="F4" s="5"/>
      <c r="G4" s="5"/>
      <c r="H4" s="5"/>
      <c r="I4" s="5"/>
      <c r="J4" s="5"/>
      <c r="K4" s="5"/>
      <c r="L4" s="5"/>
      <c r="M4" s="5"/>
      <c r="N4" s="5"/>
      <c r="O4" s="5"/>
      <c r="P4" s="5"/>
      <c r="Q4" s="5"/>
      <c r="R4" s="5"/>
    </row>
    <row r="5" spans="1:18" ht="8" customHeight="1" x14ac:dyDescent="0.45"/>
    <row r="6" spans="1:18" ht="26" customHeight="1" x14ac:dyDescent="0.45">
      <c r="B6" s="47" t="str" cm="1">
        <f t="array" aca="1" ref="B6" ca="1">IF(ISNUMBER(_xll.VoseSimMean(MortgageOut)),"✔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48"/>
      <c r="D6" s="48"/>
      <c r="E6" s="48"/>
      <c r="F6" s="48"/>
      <c r="G6" s="48"/>
    </row>
    <row r="7" spans="1:18" x14ac:dyDescent="0.45">
      <c r="B7" s="49" t="str">
        <f ca="1">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155</v>
      </c>
      <c r="C9" s="8"/>
      <c r="D9" s="8"/>
      <c r="E9" s="8"/>
      <c r="F9" s="8"/>
      <c r="G9" s="8"/>
      <c r="I9" s="50" t="s">
        <v>156</v>
      </c>
      <c r="J9" s="8"/>
      <c r="K9" s="8"/>
      <c r="L9" s="8"/>
      <c r="M9" s="8"/>
      <c r="N9" s="8"/>
      <c r="O9" s="8"/>
      <c r="P9" s="8"/>
      <c r="Q9" s="8"/>
      <c r="R9" s="8"/>
    </row>
    <row r="10" spans="1:18" ht="18" customHeight="1" x14ac:dyDescent="0.45">
      <c r="B10" s="13" t="s">
        <v>157</v>
      </c>
    </row>
    <row r="11" spans="1:18" ht="18" customHeight="1" x14ac:dyDescent="0.45">
      <c r="B11" s="23" t="s">
        <v>158</v>
      </c>
      <c r="C11" s="23" t="s">
        <v>93</v>
      </c>
      <c r="D11" s="24" t="s">
        <v>159</v>
      </c>
      <c r="E11" s="24" t="s">
        <v>160</v>
      </c>
      <c r="F11" s="24" t="s">
        <v>161</v>
      </c>
      <c r="G11" s="24" t="s">
        <v>99</v>
      </c>
    </row>
    <row r="12" spans="1:18" x14ac:dyDescent="0.45">
      <c r="B12" s="25" t="s">
        <v>134</v>
      </c>
      <c r="C12" s="26" t="s">
        <v>102</v>
      </c>
      <c r="D12" s="51" cm="1">
        <f t="array" aca="1" ref="D12" ca="1">_xll.VoseSimPercentile(InterestOut,0.1)</f>
        <v>3.9395082107246064E-2</v>
      </c>
      <c r="E12" s="51" cm="1">
        <f t="array" aca="1" ref="E12" ca="1">_xll.VoseSimPercentile(InterestOut,0.5)</f>
        <v>5.1352540091343692E-2</v>
      </c>
      <c r="F12" s="51" cm="1">
        <f t="array" aca="1" ref="F12" ca="1">_xll.VoseSimPercentile(InterestOut,0.9)</f>
        <v>6.4571997945354162E-2</v>
      </c>
      <c r="G12" s="51" cm="1">
        <f t="array" aca="1" ref="G12" ca="1">_xll.VoseSimMean(InterestOut)</f>
        <v>5.1676891381614846E-2</v>
      </c>
    </row>
    <row r="13" spans="1:18" x14ac:dyDescent="0.45">
      <c r="B13" s="25" t="s">
        <v>127</v>
      </c>
      <c r="C13" s="26" t="s">
        <v>102</v>
      </c>
      <c r="D13" s="51" cm="1">
        <f t="array" aca="1" ref="D13" ca="1">_xll.VoseSimPercentile(MortgageOut,0.1)</f>
        <v>8.675653614495335E-2</v>
      </c>
      <c r="E13" s="51" cm="1">
        <f t="array" aca="1" ref="E13" ca="1">_xll.VoseSimPercentile(MortgageOut,0.5)</f>
        <v>0.10385954334022754</v>
      </c>
      <c r="F13" s="51" cm="1">
        <f t="array" aca="1" ref="F13" ca="1">_xll.VoseSimPercentile(MortgageOut,0.9)</f>
        <v>0.12287792455261373</v>
      </c>
      <c r="G13" s="51" cm="1">
        <f t="array" aca="1" ref="G13" ca="1">_xll.VoseSimMean(MortgageOut)</f>
        <v>0.10439751250607082</v>
      </c>
    </row>
    <row r="14" spans="1:18" x14ac:dyDescent="0.45">
      <c r="B14" s="25" t="s">
        <v>135</v>
      </c>
      <c r="C14" s="26" t="s">
        <v>102</v>
      </c>
      <c r="D14" s="51" cm="1">
        <f t="array" aca="1" ref="D14" ca="1">_xll.VoseSimPercentile(Spread,0.1)</f>
        <v>3.9868536345096288E-2</v>
      </c>
      <c r="E14" s="51" cm="1">
        <f t="array" aca="1" ref="E14" ca="1">_xll.VoseSimPercentile(Spread,0.5)</f>
        <v>5.2687041357359021E-2</v>
      </c>
      <c r="F14" s="51" cm="1">
        <f t="array" aca="1" ref="F14" ca="1">_xll.VoseSimPercentile(Spread,0.9)</f>
        <v>6.5582229461942226E-2</v>
      </c>
      <c r="G14" s="51" cm="1">
        <f t="array" aca="1" ref="G14" ca="1">_xll.VoseSimMean(Spread)</f>
        <v>5.2720621124456343E-2</v>
      </c>
    </row>
    <row r="15" spans="1:18" ht="18" customHeight="1" x14ac:dyDescent="0.45">
      <c r="B15" s="23" t="s">
        <v>158</v>
      </c>
      <c r="C15" s="23" t="s">
        <v>93</v>
      </c>
      <c r="D15" s="24" t="s">
        <v>132</v>
      </c>
      <c r="E15" s="5"/>
      <c r="F15" s="5"/>
      <c r="G15" s="5"/>
    </row>
    <row r="16" spans="1:18" x14ac:dyDescent="0.45">
      <c r="B16" s="52" t="s">
        <v>162</v>
      </c>
      <c r="C16" s="26"/>
      <c r="D16" s="53" cm="1">
        <f t="array" aca="1" ref="D16" ca="1">_xll.VoseSimCorrelation(Rates!$D$25,Rates!$D$26,0)</f>
        <v>0.70445805636058056</v>
      </c>
      <c r="E16" s="31"/>
      <c r="F16" s="31"/>
      <c r="G16" s="31"/>
    </row>
    <row r="17" spans="2:7" ht="8" customHeight="1" x14ac:dyDescent="0.45"/>
    <row r="18" spans="2:7" ht="22.05" customHeight="1" x14ac:dyDescent="0.5">
      <c r="B18" s="7" t="s">
        <v>163</v>
      </c>
      <c r="C18" s="8"/>
      <c r="D18" s="8"/>
      <c r="E18" s="8"/>
      <c r="F18" s="8"/>
      <c r="G18" s="8"/>
    </row>
    <row r="19" spans="2:7" ht="18" customHeight="1" x14ac:dyDescent="0.45">
      <c r="B19" s="13" t="s">
        <v>164</v>
      </c>
    </row>
    <row r="20" spans="2:7" ht="18" customHeight="1" x14ac:dyDescent="0.45">
      <c r="B20" s="23" t="s">
        <v>158</v>
      </c>
      <c r="C20" s="23" t="s">
        <v>93</v>
      </c>
      <c r="D20" s="24" t="s">
        <v>132</v>
      </c>
      <c r="E20" s="5"/>
      <c r="F20" s="5"/>
      <c r="G20" s="5"/>
    </row>
    <row r="21" spans="2:7" x14ac:dyDescent="0.45">
      <c r="B21" s="25" t="s">
        <v>165</v>
      </c>
      <c r="C21" s="26" t="s">
        <v>166</v>
      </c>
      <c r="D21" s="54" cm="1">
        <f t="array" aca="1" ref="D21" ca="1">_xll.VoseSimMean(LowFlag)</f>
        <v>0.11459999999999999</v>
      </c>
      <c r="E21" s="31"/>
      <c r="F21" s="31"/>
      <c r="G21" s="31"/>
    </row>
    <row r="22" spans="2:7" x14ac:dyDescent="0.45">
      <c r="B22" s="25" t="s">
        <v>167</v>
      </c>
      <c r="C22" s="26" t="s">
        <v>102</v>
      </c>
      <c r="D22" s="51" cm="1">
        <f t="array" aca="1" ref="D22" ca="1">_xll.VoseSimMean(MortLow)</f>
        <v>1.0125573758687336E-2</v>
      </c>
      <c r="E22" s="31"/>
      <c r="F22" s="31"/>
      <c r="G22" s="31"/>
    </row>
    <row r="23" spans="2:7" x14ac:dyDescent="0.45">
      <c r="B23" s="52" t="s">
        <v>168</v>
      </c>
      <c r="C23" s="26" t="s">
        <v>102</v>
      </c>
      <c r="D23" s="51">
        <f ca="1">IFERROR(D22/D21,"–")</f>
        <v>8.8355791960622487E-2</v>
      </c>
      <c r="E23" s="31"/>
      <c r="F23" s="31"/>
      <c r="G23" s="31"/>
    </row>
    <row r="24" spans="2:7" x14ac:dyDescent="0.45">
      <c r="B24" s="25" t="s">
        <v>169</v>
      </c>
      <c r="C24" s="26" t="s">
        <v>166</v>
      </c>
      <c r="D24" s="54" cm="1">
        <f t="array" aca="1" ref="D24" ca="1">_xll.VoseSimMean(HighFlag)</f>
        <v>0.2072</v>
      </c>
      <c r="E24" s="31"/>
      <c r="F24" s="31"/>
      <c r="G24" s="31"/>
    </row>
    <row r="25" spans="2:7" x14ac:dyDescent="0.45">
      <c r="B25" s="25" t="s">
        <v>170</v>
      </c>
      <c r="C25" s="26" t="s">
        <v>102</v>
      </c>
      <c r="D25" s="51" cm="1">
        <f t="array" aca="1" ref="D25" ca="1">_xll.VoseSimMean(MortHigh)</f>
        <v>2.4495434207140808E-2</v>
      </c>
      <c r="E25" s="31"/>
      <c r="F25" s="31"/>
      <c r="G25" s="31"/>
    </row>
    <row r="26" spans="2:7" x14ac:dyDescent="0.45">
      <c r="B26" s="52" t="s">
        <v>171</v>
      </c>
      <c r="C26" s="26" t="s">
        <v>102</v>
      </c>
      <c r="D26" s="51">
        <f ca="1">IFERROR(D25/D24,"–")</f>
        <v>0.11822120756342089</v>
      </c>
      <c r="E26" s="31"/>
      <c r="F26" s="31"/>
      <c r="G26" s="31"/>
    </row>
    <row r="27" spans="2:7" x14ac:dyDescent="0.45">
      <c r="B27" s="25" t="s">
        <v>172</v>
      </c>
      <c r="C27" s="26" t="s">
        <v>102</v>
      </c>
      <c r="D27" s="51" cm="1">
        <f t="array" aca="1" ref="D27" ca="1">_xll.VoseSimMean(MortgageOut)</f>
        <v>0.10439751250607082</v>
      </c>
      <c r="E27" s="31"/>
      <c r="F27" s="31"/>
      <c r="G27" s="31"/>
    </row>
    <row r="28" spans="2:7" ht="22.05" customHeight="1" x14ac:dyDescent="0.5">
      <c r="B28" s="7" t="s">
        <v>173</v>
      </c>
      <c r="C28" s="8"/>
      <c r="D28" s="8"/>
      <c r="E28" s="8"/>
      <c r="F28" s="8"/>
      <c r="G28" s="8"/>
    </row>
    <row r="29" spans="2:7" ht="32" customHeight="1" x14ac:dyDescent="0.45">
      <c r="B29" s="59" t="s">
        <v>174</v>
      </c>
      <c r="C29" s="58"/>
      <c r="D29" s="58"/>
      <c r="E29" s="58"/>
      <c r="F29" s="58"/>
      <c r="G29" s="58"/>
    </row>
    <row r="30" spans="2:7" ht="32" customHeight="1" x14ac:dyDescent="0.45">
      <c r="B30" s="59" t="s">
        <v>175</v>
      </c>
      <c r="C30" s="58"/>
      <c r="D30" s="58"/>
      <c r="E30" s="58"/>
      <c r="F30" s="58"/>
      <c r="G30" s="58"/>
    </row>
    <row r="31" spans="2:7" ht="32" customHeight="1" x14ac:dyDescent="0.45">
      <c r="B31" s="59" t="s">
        <v>176</v>
      </c>
      <c r="C31" s="58"/>
      <c r="D31" s="58"/>
      <c r="E31" s="58"/>
      <c r="F31" s="58"/>
      <c r="G31" s="58"/>
    </row>
    <row r="32" spans="2:7" ht="32" customHeight="1" x14ac:dyDescent="0.45">
      <c r="B32" s="59" t="s">
        <v>177</v>
      </c>
      <c r="C32" s="58"/>
      <c r="D32" s="58"/>
      <c r="E32" s="58"/>
      <c r="F32" s="58"/>
      <c r="G32" s="58"/>
    </row>
    <row r="33" spans="2:7" ht="14" customHeight="1" x14ac:dyDescent="0.45"/>
    <row r="34" spans="2:7" ht="14" customHeight="1" x14ac:dyDescent="0.45"/>
    <row r="35" spans="2:7" ht="22.05" customHeight="1" x14ac:dyDescent="0.5">
      <c r="B35" s="7" t="s">
        <v>178</v>
      </c>
      <c r="C35" s="8"/>
      <c r="D35" s="8"/>
      <c r="E35" s="8"/>
      <c r="F35" s="8"/>
      <c r="G35" s="8"/>
    </row>
    <row r="36" spans="2:7" ht="18" customHeight="1" x14ac:dyDescent="0.45">
      <c r="B36" s="13" t="s">
        <v>179</v>
      </c>
    </row>
    <row r="37" spans="2:7" ht="28.05" hidden="1" customHeight="1" outlineLevel="1" x14ac:dyDescent="0.45">
      <c r="B37" s="24" t="s">
        <v>180</v>
      </c>
      <c r="C37" s="24" t="s">
        <v>181</v>
      </c>
      <c r="D37" s="24" t="s">
        <v>182</v>
      </c>
      <c r="E37" s="24" t="s">
        <v>183</v>
      </c>
      <c r="F37" s="5"/>
      <c r="G37" s="5"/>
    </row>
    <row r="38" spans="2:7" hidden="1" outlineLevel="1" x14ac:dyDescent="0.45">
      <c r="B38" s="55">
        <v>0.01</v>
      </c>
      <c r="C38" s="55">
        <f t="shared" ref="C38:C69" si="0">1-B38</f>
        <v>0.99</v>
      </c>
      <c r="D38" s="56" cm="1">
        <f t="array" aca="1" ref="D38" ca="1">IF(ISNUMBER(_xll.VoseSimPercentile(InterestOut,$B38)),_xll.VoseSimPercentile(InterestOut,$B38),NA())</f>
        <v>3.3438766552340252E-2</v>
      </c>
      <c r="E38" s="56" cm="1">
        <f t="array" aca="1" ref="E38" ca="1">IF(ISNUMBER(_xll.VoseSimPercentile(MortgageOut,$B38)),_xll.VoseSimPercentile(MortgageOut,$B38),NA())</f>
        <v>7.5682806143379688E-2</v>
      </c>
    </row>
    <row r="39" spans="2:7" hidden="1" outlineLevel="1" x14ac:dyDescent="0.45">
      <c r="B39" s="55">
        <v>0.03</v>
      </c>
      <c r="C39" s="55">
        <f t="shared" si="0"/>
        <v>0.97</v>
      </c>
      <c r="D39" s="56" cm="1">
        <f t="array" aca="1" ref="D39" ca="1">IF(ISNUMBER(_xll.VoseSimPercentile(InterestOut,$B39)),_xll.VoseSimPercentile(InterestOut,$B39),NA())</f>
        <v>3.5501661921130898E-2</v>
      </c>
      <c r="E39" s="56" cm="1">
        <f t="array" aca="1" ref="E39" ca="1">IF(ISNUMBER(_xll.VoseSimPercentile(MortgageOut,$B39)),_xll.VoseSimPercentile(MortgageOut,$B39),NA())</f>
        <v>7.9930506974317569E-2</v>
      </c>
    </row>
    <row r="40" spans="2:7" hidden="1" outlineLevel="1" x14ac:dyDescent="0.45">
      <c r="B40" s="55">
        <v>0.05</v>
      </c>
      <c r="C40" s="55">
        <f t="shared" si="0"/>
        <v>0.95</v>
      </c>
      <c r="D40" s="56" cm="1">
        <f t="array" aca="1" ref="D40" ca="1">IF(ISNUMBER(_xll.VoseSimPercentile(InterestOut,$B40)),_xll.VoseSimPercentile(InterestOut,$B40),NA())</f>
        <v>3.6851811842608634E-2</v>
      </c>
      <c r="E40" s="56" cm="1">
        <f t="array" aca="1" ref="E40" ca="1">IF(ISNUMBER(_xll.VoseSimPercentile(MortgageOut,$B40)),_xll.VoseSimPercentile(MortgageOut,$B40),NA())</f>
        <v>8.2754617994515611E-2</v>
      </c>
    </row>
    <row r="41" spans="2:7" hidden="1" outlineLevel="1" x14ac:dyDescent="0.45">
      <c r="B41" s="55">
        <v>7.0000000000000007E-2</v>
      </c>
      <c r="C41" s="55">
        <f t="shared" si="0"/>
        <v>0.92999999999999994</v>
      </c>
      <c r="D41" s="56" cm="1">
        <f t="array" aca="1" ref="D41" ca="1">IF(ISNUMBER(_xll.VoseSimPercentile(InterestOut,$B41)),_xll.VoseSimPercentile(InterestOut,$B41),NA())</f>
        <v>3.7975096423883567E-2</v>
      </c>
      <c r="E41" s="56" cm="1">
        <f t="array" aca="1" ref="E41" ca="1">IF(ISNUMBER(_xll.VoseSimPercentile(MortgageOut,$B41)),_xll.VoseSimPercentile(MortgageOut,$B41),NA())</f>
        <v>8.4746414650431645E-2</v>
      </c>
    </row>
    <row r="42" spans="2:7" hidden="1" outlineLevel="1" x14ac:dyDescent="0.45">
      <c r="B42" s="55">
        <v>0.09</v>
      </c>
      <c r="C42" s="55">
        <f t="shared" si="0"/>
        <v>0.91</v>
      </c>
      <c r="D42" s="56" cm="1">
        <f t="array" aca="1" ref="D42" ca="1">IF(ISNUMBER(_xll.VoseSimPercentile(InterestOut,$B42)),_xll.VoseSimPercentile(InterestOut,$B42),NA())</f>
        <v>3.8929349169766432E-2</v>
      </c>
      <c r="E42" s="56" cm="1">
        <f t="array" aca="1" ref="E42" ca="1">IF(ISNUMBER(_xll.VoseSimPercentile(MortgageOut,$B42)),_xll.VoseSimPercentile(MortgageOut,$B42),NA())</f>
        <v>8.6083922574512264E-2</v>
      </c>
    </row>
    <row r="43" spans="2:7" hidden="1" outlineLevel="1" x14ac:dyDescent="0.45">
      <c r="B43" s="55">
        <v>0.11</v>
      </c>
      <c r="C43" s="55">
        <f t="shared" si="0"/>
        <v>0.89</v>
      </c>
      <c r="D43" s="56" cm="1">
        <f t="array" aca="1" ref="D43" ca="1">IF(ISNUMBER(_xll.VoseSimPercentile(InterestOut,$B43)),_xll.VoseSimPercentile(InterestOut,$B43),NA())</f>
        <v>3.9817669471527602E-2</v>
      </c>
      <c r="E43" s="56" cm="1">
        <f t="array" aca="1" ref="E43" ca="1">IF(ISNUMBER(_xll.VoseSimPercentile(MortgageOut,$B43)),_xll.VoseSimPercentile(MortgageOut,$B43),NA())</f>
        <v>8.7367605305970555E-2</v>
      </c>
    </row>
    <row r="44" spans="2:7" hidden="1" outlineLevel="1" x14ac:dyDescent="0.45">
      <c r="B44" s="55">
        <v>0.13</v>
      </c>
      <c r="C44" s="55">
        <f t="shared" si="0"/>
        <v>0.87</v>
      </c>
      <c r="D44" s="56" cm="1">
        <f t="array" aca="1" ref="D44" ca="1">IF(ISNUMBER(_xll.VoseSimPercentile(InterestOut,$B44)),_xll.VoseSimPercentile(InterestOut,$B44),NA())</f>
        <v>4.0636103434902072E-2</v>
      </c>
      <c r="E44" s="56" cm="1">
        <f t="array" aca="1" ref="E44" ca="1">IF(ISNUMBER(_xll.VoseSimPercentile(MortgageOut,$B44)),_xll.VoseSimPercentile(MortgageOut,$B44),NA())</f>
        <v>8.8550112469534953E-2</v>
      </c>
    </row>
    <row r="45" spans="2:7" hidden="1" outlineLevel="1" x14ac:dyDescent="0.45">
      <c r="B45" s="55">
        <v>0.15</v>
      </c>
      <c r="C45" s="55">
        <f t="shared" si="0"/>
        <v>0.85</v>
      </c>
      <c r="D45" s="56" cm="1">
        <f t="array" aca="1" ref="D45" ca="1">IF(ISNUMBER(_xll.VoseSimPercentile(InterestOut,$B45)),_xll.VoseSimPercentile(InterestOut,$B45),NA())</f>
        <v>4.13827104922838E-2</v>
      </c>
      <c r="E45" s="56" cm="1">
        <f t="array" aca="1" ref="E45" ca="1">IF(ISNUMBER(_xll.VoseSimPercentile(MortgageOut,$B45)),_xll.VoseSimPercentile(MortgageOut,$B45),NA())</f>
        <v>8.9723346289569739E-2</v>
      </c>
    </row>
    <row r="46" spans="2:7" hidden="1" outlineLevel="1" x14ac:dyDescent="0.45">
      <c r="B46" s="55">
        <v>0.17</v>
      </c>
      <c r="C46" s="55">
        <f t="shared" si="0"/>
        <v>0.83</v>
      </c>
      <c r="D46" s="56" cm="1">
        <f t="array" aca="1" ref="D46" ca="1">IF(ISNUMBER(_xll.VoseSimPercentile(InterestOut,$B46)),_xll.VoseSimPercentile(InterestOut,$B46),NA())</f>
        <v>4.211392199374181E-2</v>
      </c>
      <c r="E46" s="56" cm="1">
        <f t="array" aca="1" ref="E46" ca="1">IF(ISNUMBER(_xll.VoseSimPercentile(MortgageOut,$B46)),_xll.VoseSimPercentile(MortgageOut,$B46),NA())</f>
        <v>9.0769315681828999E-2</v>
      </c>
    </row>
    <row r="47" spans="2:7" hidden="1" outlineLevel="1" x14ac:dyDescent="0.45">
      <c r="B47" s="55">
        <v>0.19</v>
      </c>
      <c r="C47" s="55">
        <f t="shared" si="0"/>
        <v>0.81</v>
      </c>
      <c r="D47" s="56" cm="1">
        <f t="array" aca="1" ref="D47" ca="1">IF(ISNUMBER(_xll.VoseSimPercentile(InterestOut,$B47)),_xll.VoseSimPercentile(InterestOut,$B47),NA())</f>
        <v>4.2705437441952085E-2</v>
      </c>
      <c r="E47" s="56" cm="1">
        <f t="array" aca="1" ref="E47" ca="1">IF(ISNUMBER(_xll.VoseSimPercentile(MortgageOut,$B47)),_xll.VoseSimPercentile(MortgageOut,$B47),NA())</f>
        <v>9.1785901358506936E-2</v>
      </c>
    </row>
    <row r="48" spans="2:7" hidden="1" outlineLevel="1" x14ac:dyDescent="0.45">
      <c r="B48" s="55">
        <v>0.21</v>
      </c>
      <c r="C48" s="55">
        <f t="shared" si="0"/>
        <v>0.79</v>
      </c>
      <c r="D48" s="56" cm="1">
        <f t="array" aca="1" ref="D48" ca="1">IF(ISNUMBER(_xll.VoseSimPercentile(InterestOut,$B48)),_xll.VoseSimPercentile(InterestOut,$B48),NA())</f>
        <v>4.3351073110180133E-2</v>
      </c>
      <c r="E48" s="56" cm="1">
        <f t="array" aca="1" ref="E48" ca="1">IF(ISNUMBER(_xll.VoseSimPercentile(MortgageOut,$B48)),_xll.VoseSimPercentile(MortgageOut,$B48),NA())</f>
        <v>9.2643079752313937E-2</v>
      </c>
    </row>
    <row r="49" spans="2:5" hidden="1" outlineLevel="1" x14ac:dyDescent="0.45">
      <c r="B49" s="55">
        <v>0.23</v>
      </c>
      <c r="C49" s="55">
        <f t="shared" si="0"/>
        <v>0.77</v>
      </c>
      <c r="D49" s="56" cm="1">
        <f t="array" aca="1" ref="D49" ca="1">IF(ISNUMBER(_xll.VoseSimPercentile(InterestOut,$B49)),_xll.VoseSimPercentile(InterestOut,$B49),NA())</f>
        <v>4.3985565508847704E-2</v>
      </c>
      <c r="E49" s="56" cm="1">
        <f t="array" aca="1" ref="E49" ca="1">IF(ISNUMBER(_xll.VoseSimPercentile(MortgageOut,$B49)),_xll.VoseSimPercentile(MortgageOut,$B49),NA())</f>
        <v>9.3628633351157814E-2</v>
      </c>
    </row>
    <row r="50" spans="2:5" hidden="1" outlineLevel="1" x14ac:dyDescent="0.45">
      <c r="B50" s="55">
        <v>0.25</v>
      </c>
      <c r="C50" s="55">
        <f t="shared" si="0"/>
        <v>0.75</v>
      </c>
      <c r="D50" s="56" cm="1">
        <f t="array" aca="1" ref="D50" ca="1">IF(ISNUMBER(_xll.VoseSimPercentile(InterestOut,$B50)),_xll.VoseSimPercentile(InterestOut,$B50),NA())</f>
        <v>4.4570341627820836E-2</v>
      </c>
      <c r="E50" s="56" cm="1">
        <f t="array" aca="1" ref="E50" ca="1">IF(ISNUMBER(_xll.VoseSimPercentile(MortgageOut,$B50)),_xll.VoseSimPercentile(MortgageOut,$B50),NA())</f>
        <v>9.4415007255865963E-2</v>
      </c>
    </row>
    <row r="51" spans="2:5" hidden="1" outlineLevel="1" x14ac:dyDescent="0.45">
      <c r="B51" s="55">
        <v>0.27</v>
      </c>
      <c r="C51" s="55">
        <f t="shared" si="0"/>
        <v>0.73</v>
      </c>
      <c r="D51" s="56" cm="1">
        <f t="array" aca="1" ref="D51" ca="1">IF(ISNUMBER(_xll.VoseSimPercentile(InterestOut,$B51)),_xll.VoseSimPercentile(InterestOut,$B51),NA())</f>
        <v>4.5154160465213339E-2</v>
      </c>
      <c r="E51" s="56" cm="1">
        <f t="array" aca="1" ref="E51" ca="1">IF(ISNUMBER(_xll.VoseSimPercentile(MortgageOut,$B51)),_xll.VoseSimPercentile(MortgageOut,$B51),NA())</f>
        <v>9.5275532169989866E-2</v>
      </c>
    </row>
    <row r="52" spans="2:5" hidden="1" outlineLevel="1" x14ac:dyDescent="0.45">
      <c r="B52" s="55">
        <v>0.28999999999999998</v>
      </c>
      <c r="C52" s="55">
        <f t="shared" si="0"/>
        <v>0.71</v>
      </c>
      <c r="D52" s="56" cm="1">
        <f t="array" aca="1" ref="D52" ca="1">IF(ISNUMBER(_xll.VoseSimPercentile(InterestOut,$B52)),_xll.VoseSimPercentile(InterestOut,$B52),NA())</f>
        <v>4.566822427667043E-2</v>
      </c>
      <c r="E52" s="56" cm="1">
        <f t="array" aca="1" ref="E52" ca="1">IF(ISNUMBER(_xll.VoseSimPercentile(MortgageOut,$B52)),_xll.VoseSimPercentile(MortgageOut,$B52),NA())</f>
        <v>9.6062063144422616E-2</v>
      </c>
    </row>
    <row r="53" spans="2:5" hidden="1" outlineLevel="1" x14ac:dyDescent="0.45">
      <c r="B53" s="55">
        <v>0.31</v>
      </c>
      <c r="C53" s="55">
        <f t="shared" si="0"/>
        <v>0.69</v>
      </c>
      <c r="D53" s="56" cm="1">
        <f t="array" aca="1" ref="D53" ca="1">IF(ISNUMBER(_xll.VoseSimPercentile(InterestOut,$B53)),_xll.VoseSimPercentile(InterestOut,$B53),NA())</f>
        <v>4.621049327842866E-2</v>
      </c>
      <c r="E53" s="56" cm="1">
        <f t="array" aca="1" ref="E53" ca="1">IF(ISNUMBER(_xll.VoseSimPercentile(MortgageOut,$B53)),_xll.VoseSimPercentile(MortgageOut,$B53),NA())</f>
        <v>9.6908822646715076E-2</v>
      </c>
    </row>
    <row r="54" spans="2:5" hidden="1" outlineLevel="1" x14ac:dyDescent="0.45">
      <c r="B54" s="55">
        <v>0.33</v>
      </c>
      <c r="C54" s="55">
        <f t="shared" si="0"/>
        <v>0.66999999999999993</v>
      </c>
      <c r="D54" s="56" cm="1">
        <f t="array" aca="1" ref="D54" ca="1">IF(ISNUMBER(_xll.VoseSimPercentile(InterestOut,$B54)),_xll.VoseSimPercentile(InterestOut,$B54),NA())</f>
        <v>4.6753524534879409E-2</v>
      </c>
      <c r="E54" s="56" cm="1">
        <f t="array" aca="1" ref="E54" ca="1">IF(ISNUMBER(_xll.VoseSimPercentile(MortgageOut,$B54)),_xll.VoseSimPercentile(MortgageOut,$B54),NA())</f>
        <v>9.7726864361518659E-2</v>
      </c>
    </row>
    <row r="55" spans="2:5" hidden="1" outlineLevel="1" x14ac:dyDescent="0.45">
      <c r="B55" s="55">
        <v>0.35</v>
      </c>
      <c r="C55" s="55">
        <f t="shared" si="0"/>
        <v>0.65</v>
      </c>
      <c r="D55" s="56" cm="1">
        <f t="array" aca="1" ref="D55" ca="1">IF(ISNUMBER(_xll.VoseSimPercentile(InterestOut,$B55)),_xll.VoseSimPercentile(InterestOut,$B55),NA())</f>
        <v>4.7350238182707477E-2</v>
      </c>
      <c r="E55" s="56" cm="1">
        <f t="array" aca="1" ref="E55" ca="1">IF(ISNUMBER(_xll.VoseSimPercentile(MortgageOut,$B55)),_xll.VoseSimPercentile(MortgageOut,$B55),NA())</f>
        <v>9.8480718376997955E-2</v>
      </c>
    </row>
    <row r="56" spans="2:5" hidden="1" outlineLevel="1" x14ac:dyDescent="0.45">
      <c r="B56" s="55">
        <v>0.37</v>
      </c>
      <c r="C56" s="55">
        <f t="shared" si="0"/>
        <v>0.63</v>
      </c>
      <c r="D56" s="56" cm="1">
        <f t="array" aca="1" ref="D56" ca="1">IF(ISNUMBER(_xll.VoseSimPercentile(InterestOut,$B56)),_xll.VoseSimPercentile(InterestOut,$B56),NA())</f>
        <v>4.7882375908835359E-2</v>
      </c>
      <c r="E56" s="56" cm="1">
        <f t="array" aca="1" ref="E56" ca="1">IF(ISNUMBER(_xll.VoseSimPercentile(MortgageOut,$B56)),_xll.VoseSimPercentile(MortgageOut,$B56),NA())</f>
        <v>9.9204414931342841E-2</v>
      </c>
    </row>
    <row r="57" spans="2:5" hidden="1" outlineLevel="1" x14ac:dyDescent="0.45">
      <c r="B57" s="55">
        <v>0.39</v>
      </c>
      <c r="C57" s="55">
        <f t="shared" si="0"/>
        <v>0.61</v>
      </c>
      <c r="D57" s="56" cm="1">
        <f t="array" aca="1" ref="D57" ca="1">IF(ISNUMBER(_xll.VoseSimPercentile(InterestOut,$B57)),_xll.VoseSimPercentile(InterestOut,$B57),NA())</f>
        <v>4.8437528093385182E-2</v>
      </c>
      <c r="E57" s="56" cm="1">
        <f t="array" aca="1" ref="E57" ca="1">IF(ISNUMBER(_xll.VoseSimPercentile(MortgageOut,$B57)),_xll.VoseSimPercentile(MortgageOut,$B57),NA())</f>
        <v>9.9977337935422114E-2</v>
      </c>
    </row>
    <row r="58" spans="2:5" hidden="1" outlineLevel="1" x14ac:dyDescent="0.45">
      <c r="B58" s="55">
        <v>0.41</v>
      </c>
      <c r="C58" s="55">
        <f t="shared" si="0"/>
        <v>0.59000000000000008</v>
      </c>
      <c r="D58" s="56" cm="1">
        <f t="array" aca="1" ref="D58" ca="1">IF(ISNUMBER(_xll.VoseSimPercentile(InterestOut,$B58)),_xll.VoseSimPercentile(InterestOut,$B58),NA())</f>
        <v>4.9005006051636373E-2</v>
      </c>
      <c r="E58" s="56" cm="1">
        <f t="array" aca="1" ref="E58" ca="1">IF(ISNUMBER(_xll.VoseSimPercentile(MortgageOut,$B58)),_xll.VoseSimPercentile(MortgageOut,$B58),NA())</f>
        <v>0.10069140545215378</v>
      </c>
    </row>
    <row r="59" spans="2:5" hidden="1" outlineLevel="1" x14ac:dyDescent="0.45">
      <c r="B59" s="55">
        <v>0.43</v>
      </c>
      <c r="C59" s="55">
        <f t="shared" si="0"/>
        <v>0.57000000000000006</v>
      </c>
      <c r="D59" s="56" cm="1">
        <f t="array" aca="1" ref="D59" ca="1">IF(ISNUMBER(_xll.VoseSimPercentile(InterestOut,$B59)),_xll.VoseSimPercentile(InterestOut,$B59),NA())</f>
        <v>4.9477040706172509E-2</v>
      </c>
      <c r="E59" s="56" cm="1">
        <f t="array" aca="1" ref="E59" ca="1">IF(ISNUMBER(_xll.VoseSimPercentile(MortgageOut,$B59)),_xll.VoseSimPercentile(MortgageOut,$B59),NA())</f>
        <v>0.10145207334740208</v>
      </c>
    </row>
    <row r="60" spans="2:5" hidden="1" outlineLevel="1" x14ac:dyDescent="0.45">
      <c r="B60" s="55">
        <v>0.45</v>
      </c>
      <c r="C60" s="55">
        <f t="shared" si="0"/>
        <v>0.55000000000000004</v>
      </c>
      <c r="D60" s="56" cm="1">
        <f t="array" aca="1" ref="D60" ca="1">IF(ISNUMBER(_xll.VoseSimPercentile(InterestOut,$B60)),_xll.VoseSimPercentile(InterestOut,$B60),NA())</f>
        <v>5.0041070898589744E-2</v>
      </c>
      <c r="E60" s="56" cm="1">
        <f t="array" aca="1" ref="E60" ca="1">IF(ISNUMBER(_xll.VoseSimPercentile(MortgageOut,$B60)),_xll.VoseSimPercentile(MortgageOut,$B60),NA())</f>
        <v>0.10211150433360619</v>
      </c>
    </row>
    <row r="61" spans="2:5" hidden="1" outlineLevel="1" x14ac:dyDescent="0.45">
      <c r="B61" s="55">
        <v>0.47</v>
      </c>
      <c r="C61" s="55">
        <f t="shared" si="0"/>
        <v>0.53</v>
      </c>
      <c r="D61" s="56" cm="1">
        <f t="array" aca="1" ref="D61" ca="1">IF(ISNUMBER(_xll.VoseSimPercentile(InterestOut,$B61)),_xll.VoseSimPercentile(InterestOut,$B61),NA())</f>
        <v>5.0594315383073546E-2</v>
      </c>
      <c r="E61" s="56" cm="1">
        <f t="array" aca="1" ref="E61" ca="1">IF(ISNUMBER(_xll.VoseSimPercentile(MortgageOut,$B61)),_xll.VoseSimPercentile(MortgageOut,$B61),NA())</f>
        <v>0.1028216914966482</v>
      </c>
    </row>
    <row r="62" spans="2:5" hidden="1" outlineLevel="1" x14ac:dyDescent="0.45">
      <c r="B62" s="55">
        <v>0.49</v>
      </c>
      <c r="C62" s="55">
        <f t="shared" si="0"/>
        <v>0.51</v>
      </c>
      <c r="D62" s="56" cm="1">
        <f t="array" aca="1" ref="D62" ca="1">IF(ISNUMBER(_xll.VoseSimPercentile(InterestOut,$B62)),_xll.VoseSimPercentile(InterestOut,$B62),NA())</f>
        <v>5.1090758807336809E-2</v>
      </c>
      <c r="E62" s="56" cm="1">
        <f t="array" aca="1" ref="E62" ca="1">IF(ISNUMBER(_xll.VoseSimPercentile(MortgageOut,$B62)),_xll.VoseSimPercentile(MortgageOut,$B62),NA())</f>
        <v>0.10353360679081912</v>
      </c>
    </row>
    <row r="63" spans="2:5" hidden="1" outlineLevel="1" x14ac:dyDescent="0.45">
      <c r="B63" s="55">
        <v>0.51</v>
      </c>
      <c r="C63" s="55">
        <f t="shared" si="0"/>
        <v>0.49</v>
      </c>
      <c r="D63" s="56" cm="1">
        <f t="array" aca="1" ref="D63" ca="1">IF(ISNUMBER(_xll.VoseSimPercentile(InterestOut,$B63)),_xll.VoseSimPercentile(InterestOut,$B63),NA())</f>
        <v>5.161701303374179E-2</v>
      </c>
      <c r="E63" s="56" cm="1">
        <f t="array" aca="1" ref="E63" ca="1">IF(ISNUMBER(_xll.VoseSimPercentile(MortgageOut,$B63)),_xll.VoseSimPercentile(MortgageOut,$B63),NA())</f>
        <v>0.10427279612202019</v>
      </c>
    </row>
    <row r="64" spans="2:5" hidden="1" outlineLevel="1" x14ac:dyDescent="0.45">
      <c r="B64" s="55">
        <v>0.53</v>
      </c>
      <c r="C64" s="55">
        <f t="shared" si="0"/>
        <v>0.47</v>
      </c>
      <c r="D64" s="56" cm="1">
        <f t="array" aca="1" ref="D64" ca="1">IF(ISNUMBER(_xll.VoseSimPercentile(InterestOut,$B64)),_xll.VoseSimPercentile(InterestOut,$B64),NA())</f>
        <v>5.2095188855561123E-2</v>
      </c>
      <c r="E64" s="56" cm="1">
        <f t="array" aca="1" ref="E64" ca="1">IF(ISNUMBER(_xll.VoseSimPercentile(MortgageOut,$B64)),_xll.VoseSimPercentile(MortgageOut,$B64),NA())</f>
        <v>0.10499619385511332</v>
      </c>
    </row>
    <row r="65" spans="2:5" hidden="1" outlineLevel="1" x14ac:dyDescent="0.45">
      <c r="B65" s="55">
        <v>0.55000000000000004</v>
      </c>
      <c r="C65" s="55">
        <f t="shared" si="0"/>
        <v>0.44999999999999996</v>
      </c>
      <c r="D65" s="56" cm="1">
        <f t="array" aca="1" ref="D65" ca="1">IF(ISNUMBER(_xll.VoseSimPercentile(InterestOut,$B65)),_xll.VoseSimPercentile(InterestOut,$B65),NA())</f>
        <v>5.2570520111263369E-2</v>
      </c>
      <c r="E65" s="56" cm="1">
        <f t="array" aca="1" ref="E65" ca="1">IF(ISNUMBER(_xll.VoseSimPercentile(MortgageOut,$B65)),_xll.VoseSimPercentile(MortgageOut,$B65),NA())</f>
        <v>0.10575594170260931</v>
      </c>
    </row>
    <row r="66" spans="2:5" hidden="1" outlineLevel="1" x14ac:dyDescent="0.45">
      <c r="B66" s="55">
        <v>0.56999999999999995</v>
      </c>
      <c r="C66" s="55">
        <f t="shared" si="0"/>
        <v>0.43000000000000005</v>
      </c>
      <c r="D66" s="56" cm="1">
        <f t="array" aca="1" ref="D66" ca="1">IF(ISNUMBER(_xll.VoseSimPercentile(InterestOut,$B66)),_xll.VoseSimPercentile(InterestOut,$B66),NA())</f>
        <v>5.3088259919040315E-2</v>
      </c>
      <c r="E66" s="56" cm="1">
        <f t="array" aca="1" ref="E66" ca="1">IF(ISNUMBER(_xll.VoseSimPercentile(MortgageOut,$B66)),_xll.VoseSimPercentile(MortgageOut,$B66),NA())</f>
        <v>0.10642633558606143</v>
      </c>
    </row>
    <row r="67" spans="2:5" hidden="1" outlineLevel="1" x14ac:dyDescent="0.45">
      <c r="B67" s="55">
        <v>0.59</v>
      </c>
      <c r="C67" s="55">
        <f t="shared" si="0"/>
        <v>0.41000000000000003</v>
      </c>
      <c r="D67" s="56" cm="1">
        <f t="array" aca="1" ref="D67" ca="1">IF(ISNUMBER(_xll.VoseSimPercentile(InterestOut,$B67)),_xll.VoseSimPercentile(InterestOut,$B67),NA())</f>
        <v>5.3586726588035954E-2</v>
      </c>
      <c r="E67" s="56" cm="1">
        <f t="array" aca="1" ref="E67" ca="1">IF(ISNUMBER(_xll.VoseSimPercentile(MortgageOut,$B67)),_xll.VoseSimPercentile(MortgageOut,$B67),NA())</f>
        <v>0.10714912388673262</v>
      </c>
    </row>
    <row r="68" spans="2:5" hidden="1" outlineLevel="1" x14ac:dyDescent="0.45">
      <c r="B68" s="55">
        <v>0.61</v>
      </c>
      <c r="C68" s="55">
        <f t="shared" si="0"/>
        <v>0.39</v>
      </c>
      <c r="D68" s="56" cm="1">
        <f t="array" aca="1" ref="D68" ca="1">IF(ISNUMBER(_xll.VoseSimPercentile(InterestOut,$B68)),_xll.VoseSimPercentile(InterestOut,$B68),NA())</f>
        <v>5.4155467974458311E-2</v>
      </c>
      <c r="E68" s="56" cm="1">
        <f t="array" aca="1" ref="E68" ca="1">IF(ISNUMBER(_xll.VoseSimPercentile(MortgageOut,$B68)),_xll.VoseSimPercentile(MortgageOut,$B68),NA())</f>
        <v>0.1079188773735963</v>
      </c>
    </row>
    <row r="69" spans="2:5" hidden="1" outlineLevel="1" x14ac:dyDescent="0.45">
      <c r="B69" s="55">
        <v>0.63</v>
      </c>
      <c r="C69" s="55">
        <f t="shared" si="0"/>
        <v>0.37</v>
      </c>
      <c r="D69" s="56" cm="1">
        <f t="array" aca="1" ref="D69" ca="1">IF(ISNUMBER(_xll.VoseSimPercentile(InterestOut,$B69)),_xll.VoseSimPercentile(InterestOut,$B69),NA())</f>
        <v>5.4746075575174122E-2</v>
      </c>
      <c r="E69" s="56" cm="1">
        <f t="array" aca="1" ref="E69" ca="1">IF(ISNUMBER(_xll.VoseSimPercentile(MortgageOut,$B69)),_xll.VoseSimPercentile(MortgageOut,$B69),NA())</f>
        <v>0.10878830836084016</v>
      </c>
    </row>
    <row r="70" spans="2:5" hidden="1" outlineLevel="1" x14ac:dyDescent="0.45">
      <c r="B70" s="55">
        <v>0.65</v>
      </c>
      <c r="C70" s="55">
        <f t="shared" ref="C70:C101" si="1">1-B70</f>
        <v>0.35</v>
      </c>
      <c r="D70" s="56" cm="1">
        <f t="array" aca="1" ref="D70" ca="1">IF(ISNUMBER(_xll.VoseSimPercentile(InterestOut,$B70)),_xll.VoseSimPercentile(InterestOut,$B70),NA())</f>
        <v>5.5347514849852952E-2</v>
      </c>
      <c r="E70" s="56" cm="1">
        <f t="array" aca="1" ref="E70" ca="1">IF(ISNUMBER(_xll.VoseSimPercentile(MortgageOut,$B70)),_xll.VoseSimPercentile(MortgageOut,$B70),NA())</f>
        <v>0.10953925647645871</v>
      </c>
    </row>
    <row r="71" spans="2:5" hidden="1" outlineLevel="1" x14ac:dyDescent="0.45">
      <c r="B71" s="55">
        <v>0.67</v>
      </c>
      <c r="C71" s="55">
        <f t="shared" si="1"/>
        <v>0.32999999999999996</v>
      </c>
      <c r="D71" s="56" cm="1">
        <f t="array" aca="1" ref="D71" ca="1">IF(ISNUMBER(_xll.VoseSimPercentile(InterestOut,$B71)),_xll.VoseSimPercentile(InterestOut,$B71),NA())</f>
        <v>5.594538422561815E-2</v>
      </c>
      <c r="E71" s="56" cm="1">
        <f t="array" aca="1" ref="E71" ca="1">IF(ISNUMBER(_xll.VoseSimPercentile(MortgageOut,$B71)),_xll.VoseSimPercentile(MortgageOut,$B71),NA())</f>
        <v>0.11033528801553577</v>
      </c>
    </row>
    <row r="72" spans="2:5" hidden="1" outlineLevel="1" x14ac:dyDescent="0.45">
      <c r="B72" s="55">
        <v>0.69</v>
      </c>
      <c r="C72" s="55">
        <f t="shared" si="1"/>
        <v>0.31000000000000005</v>
      </c>
      <c r="D72" s="56" cm="1">
        <f t="array" aca="1" ref="D72" ca="1">IF(ISNUMBER(_xll.VoseSimPercentile(InterestOut,$B72)),_xll.VoseSimPercentile(InterestOut,$B72),NA())</f>
        <v>5.6555464598483436E-2</v>
      </c>
      <c r="E72" s="56" cm="1">
        <f t="array" aca="1" ref="E72" ca="1">IF(ISNUMBER(_xll.VoseSimPercentile(MortgageOut,$B72)),_xll.VoseSimPercentile(MortgageOut,$B72),NA())</f>
        <v>0.1111206952842665</v>
      </c>
    </row>
    <row r="73" spans="2:5" hidden="1" outlineLevel="1" x14ac:dyDescent="0.45">
      <c r="B73" s="55">
        <v>0.71</v>
      </c>
      <c r="C73" s="55">
        <f t="shared" si="1"/>
        <v>0.29000000000000004</v>
      </c>
      <c r="D73" s="56" cm="1">
        <f t="array" aca="1" ref="D73" ca="1">IF(ISNUMBER(_xll.VoseSimPercentile(InterestOut,$B73)),_xll.VoseSimPercentile(InterestOut,$B73),NA())</f>
        <v>5.7189533560471115E-2</v>
      </c>
      <c r="E73" s="56" cm="1">
        <f t="array" aca="1" ref="E73" ca="1">IF(ISNUMBER(_xll.VoseSimPercentile(MortgageOut,$B73)),_xll.VoseSimPercentile(MortgageOut,$B73),NA())</f>
        <v>0.11197218600494672</v>
      </c>
    </row>
    <row r="74" spans="2:5" hidden="1" outlineLevel="1" x14ac:dyDescent="0.45">
      <c r="B74" s="55">
        <v>0.73</v>
      </c>
      <c r="C74" s="55">
        <f t="shared" si="1"/>
        <v>0.27</v>
      </c>
      <c r="D74" s="56" cm="1">
        <f t="array" aca="1" ref="D74" ca="1">IF(ISNUMBER(_xll.VoseSimPercentile(InterestOut,$B74)),_xll.VoseSimPercentile(InterestOut,$B74),NA())</f>
        <v>5.7797733402204662E-2</v>
      </c>
      <c r="E74" s="56" cm="1">
        <f t="array" aca="1" ref="E74" ca="1">IF(ISNUMBER(_xll.VoseSimPercentile(MortgageOut,$B74)),_xll.VoseSimPercentile(MortgageOut,$B74),NA())</f>
        <v>0.11281980248183759</v>
      </c>
    </row>
    <row r="75" spans="2:5" hidden="1" outlineLevel="1" x14ac:dyDescent="0.45">
      <c r="B75" s="55">
        <v>0.75</v>
      </c>
      <c r="C75" s="55">
        <f t="shared" si="1"/>
        <v>0.25</v>
      </c>
      <c r="D75" s="56" cm="1">
        <f t="array" aca="1" ref="D75" ca="1">IF(ISNUMBER(_xll.VoseSimPercentile(InterestOut,$B75)),_xll.VoseSimPercentile(InterestOut,$B75),NA())</f>
        <v>5.842628590127695E-2</v>
      </c>
      <c r="E75" s="56" cm="1">
        <f t="array" aca="1" ref="E75" ca="1">IF(ISNUMBER(_xll.VoseSimPercentile(MortgageOut,$B75)),_xll.VoseSimPercentile(MortgageOut,$B75),NA())</f>
        <v>0.11365758624649006</v>
      </c>
    </row>
    <row r="76" spans="2:5" hidden="1" outlineLevel="1" x14ac:dyDescent="0.45">
      <c r="B76" s="55">
        <v>0.77</v>
      </c>
      <c r="C76" s="55">
        <f t="shared" si="1"/>
        <v>0.22999999999999998</v>
      </c>
      <c r="D76" s="56" cm="1">
        <f t="array" aca="1" ref="D76" ca="1">IF(ISNUMBER(_xll.VoseSimPercentile(InterestOut,$B76)),_xll.VoseSimPercentile(InterestOut,$B76),NA())</f>
        <v>5.9101752353936193E-2</v>
      </c>
      <c r="E76" s="56" cm="1">
        <f t="array" aca="1" ref="E76" ca="1">IF(ISNUMBER(_xll.VoseSimPercentile(MortgageOut,$B76)),_xll.VoseSimPercentile(MortgageOut,$B76),NA())</f>
        <v>0.11465215242599494</v>
      </c>
    </row>
    <row r="77" spans="2:5" hidden="1" outlineLevel="1" x14ac:dyDescent="0.45">
      <c r="B77" s="55">
        <v>0.79</v>
      </c>
      <c r="C77" s="55">
        <f t="shared" si="1"/>
        <v>0.20999999999999996</v>
      </c>
      <c r="D77" s="56" cm="1">
        <f t="array" aca="1" ref="D77" ca="1">IF(ISNUMBER(_xll.VoseSimPercentile(InterestOut,$B77)),_xll.VoseSimPercentile(InterestOut,$B77),NA())</f>
        <v>5.9879529066052276E-2</v>
      </c>
      <c r="E77" s="56" cm="1">
        <f t="array" aca="1" ref="E77" ca="1">IF(ISNUMBER(_xll.VoseSimPercentile(MortgageOut,$B77)),_xll.VoseSimPercentile(MortgageOut,$B77),NA())</f>
        <v>0.11571160461376362</v>
      </c>
    </row>
    <row r="78" spans="2:5" hidden="1" outlineLevel="1" x14ac:dyDescent="0.45">
      <c r="B78" s="55">
        <v>0.81</v>
      </c>
      <c r="C78" s="55">
        <f t="shared" si="1"/>
        <v>0.18999999999999995</v>
      </c>
      <c r="D78" s="56" cm="1">
        <f t="array" aca="1" ref="D78" ca="1">IF(ISNUMBER(_xll.VoseSimPercentile(InterestOut,$B78)),_xll.VoseSimPercentile(InterestOut,$B78),NA())</f>
        <v>6.0612789447414897E-2</v>
      </c>
      <c r="E78" s="56" cm="1">
        <f t="array" aca="1" ref="E78" ca="1">IF(ISNUMBER(_xll.VoseSimPercentile(MortgageOut,$B78)),_xll.VoseSimPercentile(MortgageOut,$B78),NA())</f>
        <v>0.11679211102626672</v>
      </c>
    </row>
    <row r="79" spans="2:5" hidden="1" outlineLevel="1" x14ac:dyDescent="0.45">
      <c r="B79" s="55">
        <v>0.83</v>
      </c>
      <c r="C79" s="55">
        <f t="shared" si="1"/>
        <v>0.17000000000000004</v>
      </c>
      <c r="D79" s="56" cm="1">
        <f t="array" aca="1" ref="D79" ca="1">IF(ISNUMBER(_xll.VoseSimPercentile(InterestOut,$B79)),_xll.VoseSimPercentile(InterestOut,$B79),NA())</f>
        <v>6.142161574311452E-2</v>
      </c>
      <c r="E79" s="56" cm="1">
        <f t="array" aca="1" ref="E79" ca="1">IF(ISNUMBER(_xll.VoseSimPercentile(MortgageOut,$B79)),_xll.VoseSimPercentile(MortgageOut,$B79),NA())</f>
        <v>0.11789683435887401</v>
      </c>
    </row>
    <row r="80" spans="2:5" hidden="1" outlineLevel="1" x14ac:dyDescent="0.45">
      <c r="B80" s="55">
        <v>0.85</v>
      </c>
      <c r="C80" s="55">
        <f t="shared" si="1"/>
        <v>0.15000000000000002</v>
      </c>
      <c r="D80" s="56" cm="1">
        <f t="array" aca="1" ref="D80" ca="1">IF(ISNUMBER(_xll.VoseSimPercentile(InterestOut,$B80)),_xll.VoseSimPercentile(InterestOut,$B80),NA())</f>
        <v>6.2258699406149677E-2</v>
      </c>
      <c r="E80" s="56" cm="1">
        <f t="array" aca="1" ref="E80" ca="1">IF(ISNUMBER(_xll.VoseSimPercentile(MortgageOut,$B80)),_xll.VoseSimPercentile(MortgageOut,$B80),NA())</f>
        <v>0.11915105262109055</v>
      </c>
    </row>
    <row r="81" spans="2:5" hidden="1" outlineLevel="1" x14ac:dyDescent="0.45">
      <c r="B81" s="55">
        <v>0.87</v>
      </c>
      <c r="C81" s="55">
        <f t="shared" si="1"/>
        <v>0.13</v>
      </c>
      <c r="D81" s="56" cm="1">
        <f t="array" aca="1" ref="D81" ca="1">IF(ISNUMBER(_xll.VoseSimPercentile(InterestOut,$B81)),_xll.VoseSimPercentile(InterestOut,$B81),NA())</f>
        <v>6.3154468495182386E-2</v>
      </c>
      <c r="E81" s="56" cm="1">
        <f t="array" aca="1" ref="E81" ca="1">IF(ISNUMBER(_xll.VoseSimPercentile(MortgageOut,$B81)),_xll.VoseSimPercentile(MortgageOut,$B81),NA())</f>
        <v>0.12045709391445859</v>
      </c>
    </row>
    <row r="82" spans="2:5" hidden="1" outlineLevel="1" x14ac:dyDescent="0.45">
      <c r="B82" s="55">
        <v>0.89</v>
      </c>
      <c r="C82" s="55">
        <f t="shared" si="1"/>
        <v>0.10999999999999999</v>
      </c>
      <c r="D82" s="56" cm="1">
        <f t="array" aca="1" ref="D82" ca="1">IF(ISNUMBER(_xll.VoseSimPercentile(InterestOut,$B82)),_xll.VoseSimPercentile(InterestOut,$B82),NA())</f>
        <v>6.4001086708185814E-2</v>
      </c>
      <c r="E82" s="56" cm="1">
        <f t="array" aca="1" ref="E82" ca="1">IF(ISNUMBER(_xll.VoseSimPercentile(MortgageOut,$B82)),_xll.VoseSimPercentile(MortgageOut,$B82),NA())</f>
        <v>0.12192732922159134</v>
      </c>
    </row>
    <row r="83" spans="2:5" hidden="1" outlineLevel="1" x14ac:dyDescent="0.45">
      <c r="B83" s="55">
        <v>0.91</v>
      </c>
      <c r="C83" s="55">
        <f t="shared" si="1"/>
        <v>8.9999999999999969E-2</v>
      </c>
      <c r="D83" s="56" cm="1">
        <f t="array" aca="1" ref="D83" ca="1">IF(ISNUMBER(_xll.VoseSimPercentile(InterestOut,$B83)),_xll.VoseSimPercentile(InterestOut,$B83),NA())</f>
        <v>6.5004017364691344E-2</v>
      </c>
      <c r="E83" s="56" cm="1">
        <f t="array" aca="1" ref="E83" ca="1">IF(ISNUMBER(_xll.VoseSimPercentile(MortgageOut,$B83)),_xll.VoseSimPercentile(MortgageOut,$B83),NA())</f>
        <v>0.12385107550832074</v>
      </c>
    </row>
    <row r="84" spans="2:5" hidden="1" outlineLevel="1" x14ac:dyDescent="0.45">
      <c r="B84" s="55">
        <v>0.93</v>
      </c>
      <c r="C84" s="55">
        <f t="shared" si="1"/>
        <v>6.9999999999999951E-2</v>
      </c>
      <c r="D84" s="56" cm="1">
        <f t="array" aca="1" ref="D84" ca="1">IF(ISNUMBER(_xll.VoseSimPercentile(InterestOut,$B84)),_xll.VoseSimPercentile(InterestOut,$B84),NA())</f>
        <v>6.627249021128534E-2</v>
      </c>
      <c r="E84" s="56" cm="1">
        <f t="array" aca="1" ref="E84" ca="1">IF(ISNUMBER(_xll.VoseSimPercentile(MortgageOut,$B84)),_xll.VoseSimPercentile(MortgageOut,$B84),NA())</f>
        <v>0.12577459550322331</v>
      </c>
    </row>
    <row r="85" spans="2:5" hidden="1" outlineLevel="1" x14ac:dyDescent="0.45">
      <c r="B85" s="55">
        <v>0.95</v>
      </c>
      <c r="C85" s="55">
        <f t="shared" si="1"/>
        <v>5.0000000000000044E-2</v>
      </c>
      <c r="D85" s="56" cm="1">
        <f t="array" aca="1" ref="D85" ca="1">IF(ISNUMBER(_xll.VoseSimPercentile(InterestOut,$B85)),_xll.VoseSimPercentile(InterestOut,$B85),NA())</f>
        <v>6.7647810198250155E-2</v>
      </c>
      <c r="E85" s="56" cm="1">
        <f t="array" aca="1" ref="E85" ca="1">IF(ISNUMBER(_xll.VoseSimPercentile(MortgageOut,$B85)),_xll.VoseSimPercentile(MortgageOut,$B85),NA())</f>
        <v>0.12830902673182112</v>
      </c>
    </row>
    <row r="86" spans="2:5" hidden="1" outlineLevel="1" x14ac:dyDescent="0.45">
      <c r="B86" s="55">
        <v>0.97</v>
      </c>
      <c r="C86" s="55">
        <f t="shared" si="1"/>
        <v>3.0000000000000027E-2</v>
      </c>
      <c r="D86" s="56" cm="1">
        <f t="array" aca="1" ref="D86" ca="1">IF(ISNUMBER(_xll.VoseSimPercentile(InterestOut,$B86)),_xll.VoseSimPercentile(InterestOut,$B86),NA())</f>
        <v>6.9609029257297839E-2</v>
      </c>
      <c r="E86" s="56" cm="1">
        <f t="array" aca="1" ref="E86" ca="1">IF(ISNUMBER(_xll.VoseSimPercentile(MortgageOut,$B86)),_xll.VoseSimPercentile(MortgageOut,$B86),NA())</f>
        <v>0.13119548428777283</v>
      </c>
    </row>
    <row r="87" spans="2:5" hidden="1" outlineLevel="1" x14ac:dyDescent="0.45">
      <c r="B87" s="55">
        <v>0.99</v>
      </c>
      <c r="C87" s="55">
        <f t="shared" si="1"/>
        <v>1.0000000000000009E-2</v>
      </c>
      <c r="D87" s="56" cm="1">
        <f t="array" aca="1" ref="D87" ca="1">IF(ISNUMBER(_xll.VoseSimPercentile(InterestOut,$B87)),_xll.VoseSimPercentile(InterestOut,$B87),NA())</f>
        <v>7.2500944244146853E-2</v>
      </c>
      <c r="E87" s="56" cm="1">
        <f t="array" aca="1" ref="E87" ca="1">IF(ISNUMBER(_xll.VoseSimPercentile(MortgageOut,$B87)),_xll.VoseSimPercentile(MortgageOut,$B87),NA())</f>
        <v>0.1367001268974371</v>
      </c>
    </row>
  </sheetData>
  <mergeCells count="4">
    <mergeCell ref="B31:G31"/>
    <mergeCell ref="B30:G30"/>
    <mergeCell ref="B29:G29"/>
    <mergeCell ref="B32:G32"/>
  </mergeCells>
  <conditionalFormatting sqref="B7">
    <cfRule type="expression" dxfId="2" priority="2">
      <formula>LEFT($B$7,1)="✗"</formula>
    </cfRule>
  </conditionalFormatting>
  <conditionalFormatting sqref="B6:G6">
    <cfRule type="expression" dxfId="1" priority="1">
      <formula>LEFT($B$6,1)&lt;&gt;"✔"</formula>
    </cfRule>
  </conditionalFormatting>
  <conditionalFormatting sqref="D38:E87">
    <cfRule type="expression" dxfId="0" priority="3">
      <formula>ISNA(D38)</formula>
    </cfRule>
  </conditionalFormatting>
  <hyperlinks>
    <hyperlink ref="B4" location="'Rates'!A1" display="◂  Rates"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8F2A5-17B6-461A-A6EB-15C0711A121E}">
  <dimension ref="A1:B1"/>
  <sheetViews>
    <sheetView workbookViewId="0"/>
  </sheetViews>
  <sheetFormatPr defaultRowHeight="14.25" x14ac:dyDescent="0.45"/>
  <sheetData>
    <row r="1" spans="1:2" x14ac:dyDescent="0.45">
      <c r="A1" s="61" t="s">
        <v>184</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6E2A4-D510-49D3-8F30-178FE44A5DF6}">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3BA6F-DEF5-49F1-860A-FBA2C5B1BA0B}">
  <dimension ref="B3:B52"/>
  <sheetViews>
    <sheetView workbookViewId="0"/>
  </sheetViews>
  <sheetFormatPr defaultRowHeight="14.25" x14ac:dyDescent="0.45"/>
  <sheetData>
    <row r="3" spans="2:2" x14ac:dyDescent="0.45">
      <c r="B3">
        <v>65</v>
      </c>
    </row>
    <row r="4" spans="2:2" x14ac:dyDescent="0.45">
      <c r="B4">
        <v>154</v>
      </c>
    </row>
    <row r="5" spans="2:2" x14ac:dyDescent="0.45">
      <c r="B5">
        <v>298</v>
      </c>
    </row>
    <row r="6" spans="2:2" x14ac:dyDescent="0.45">
      <c r="B6">
        <v>330</v>
      </c>
    </row>
    <row r="7" spans="2:2" x14ac:dyDescent="0.45">
      <c r="B7">
        <v>367</v>
      </c>
    </row>
    <row r="8" spans="2:2" x14ac:dyDescent="0.45">
      <c r="B8">
        <v>317</v>
      </c>
    </row>
    <row r="9" spans="2:2" x14ac:dyDescent="0.45">
      <c r="B9">
        <v>237</v>
      </c>
    </row>
    <row r="10" spans="2:2" x14ac:dyDescent="0.45">
      <c r="B10">
        <v>156</v>
      </c>
    </row>
    <row r="11" spans="2:2" x14ac:dyDescent="0.45">
      <c r="B11">
        <v>67</v>
      </c>
    </row>
    <row r="12" spans="2:2" x14ac:dyDescent="0.45">
      <c r="B12">
        <v>9</v>
      </c>
    </row>
    <row r="13" spans="2:2" x14ac:dyDescent="0.45">
      <c r="B13">
        <v>40</v>
      </c>
    </row>
    <row r="14" spans="2:2" x14ac:dyDescent="0.45">
      <c r="B14">
        <v>120</v>
      </c>
    </row>
    <row r="15" spans="2:2" x14ac:dyDescent="0.45">
      <c r="B15">
        <v>305</v>
      </c>
    </row>
    <row r="16" spans="2:2" x14ac:dyDescent="0.45">
      <c r="B16">
        <v>411</v>
      </c>
    </row>
    <row r="17" spans="2:2" x14ac:dyDescent="0.45">
      <c r="B17">
        <v>437</v>
      </c>
    </row>
    <row r="18" spans="2:2" x14ac:dyDescent="0.45">
      <c r="B18">
        <v>366</v>
      </c>
    </row>
    <row r="19" spans="2:2" x14ac:dyDescent="0.45">
      <c r="B19">
        <v>193</v>
      </c>
    </row>
    <row r="20" spans="2:2" x14ac:dyDescent="0.45">
      <c r="B20">
        <v>100</v>
      </c>
    </row>
    <row r="21" spans="2:2" x14ac:dyDescent="0.45">
      <c r="B21">
        <v>24</v>
      </c>
    </row>
    <row r="22" spans="2:2" x14ac:dyDescent="0.45">
      <c r="B22">
        <v>4</v>
      </c>
    </row>
    <row r="23" spans="2:2" x14ac:dyDescent="0.45">
      <c r="B23">
        <v>65</v>
      </c>
    </row>
    <row r="24" spans="2:2" x14ac:dyDescent="0.45">
      <c r="B24">
        <v>154</v>
      </c>
    </row>
    <row r="25" spans="2:2" x14ac:dyDescent="0.45">
      <c r="B25">
        <v>298</v>
      </c>
    </row>
    <row r="26" spans="2:2" x14ac:dyDescent="0.45">
      <c r="B26">
        <v>330</v>
      </c>
    </row>
    <row r="27" spans="2:2" x14ac:dyDescent="0.45">
      <c r="B27">
        <v>367</v>
      </c>
    </row>
    <row r="28" spans="2:2" x14ac:dyDescent="0.45">
      <c r="B28">
        <v>317</v>
      </c>
    </row>
    <row r="29" spans="2:2" x14ac:dyDescent="0.45">
      <c r="B29">
        <v>237</v>
      </c>
    </row>
    <row r="30" spans="2:2" x14ac:dyDescent="0.45">
      <c r="B30">
        <v>156</v>
      </c>
    </row>
    <row r="31" spans="2:2" x14ac:dyDescent="0.45">
      <c r="B31">
        <v>67</v>
      </c>
    </row>
    <row r="32" spans="2:2" x14ac:dyDescent="0.45">
      <c r="B32">
        <v>9</v>
      </c>
    </row>
    <row r="33" spans="2:2" x14ac:dyDescent="0.45">
      <c r="B33">
        <v>40</v>
      </c>
    </row>
    <row r="34" spans="2:2" x14ac:dyDescent="0.45">
      <c r="B34">
        <v>120</v>
      </c>
    </row>
    <row r="35" spans="2:2" x14ac:dyDescent="0.45">
      <c r="B35">
        <v>305</v>
      </c>
    </row>
    <row r="36" spans="2:2" x14ac:dyDescent="0.45">
      <c r="B36">
        <v>411</v>
      </c>
    </row>
    <row r="37" spans="2:2" x14ac:dyDescent="0.45">
      <c r="B37">
        <v>437</v>
      </c>
    </row>
    <row r="38" spans="2:2" x14ac:dyDescent="0.45">
      <c r="B38">
        <v>366</v>
      </c>
    </row>
    <row r="39" spans="2:2" x14ac:dyDescent="0.45">
      <c r="B39">
        <v>193</v>
      </c>
    </row>
    <row r="40" spans="2:2" x14ac:dyDescent="0.45">
      <c r="B40">
        <v>100</v>
      </c>
    </row>
    <row r="41" spans="2:2" x14ac:dyDescent="0.45">
      <c r="B41">
        <v>24</v>
      </c>
    </row>
    <row r="42" spans="2:2" x14ac:dyDescent="0.45">
      <c r="B42">
        <v>4</v>
      </c>
    </row>
    <row r="43" spans="2:2" x14ac:dyDescent="0.45">
      <c r="B43">
        <v>10</v>
      </c>
    </row>
    <row r="44" spans="2:2" x14ac:dyDescent="0.45">
      <c r="B44">
        <v>80</v>
      </c>
    </row>
    <row r="45" spans="2:2" x14ac:dyDescent="0.45">
      <c r="B45">
        <v>206</v>
      </c>
    </row>
    <row r="46" spans="2:2" x14ac:dyDescent="0.45">
      <c r="B46">
        <v>292</v>
      </c>
    </row>
    <row r="47" spans="2:2" x14ac:dyDescent="0.45">
      <c r="B47">
        <v>360</v>
      </c>
    </row>
    <row r="48" spans="2:2" x14ac:dyDescent="0.45">
      <c r="B48">
        <v>404</v>
      </c>
    </row>
    <row r="49" spans="2:2" x14ac:dyDescent="0.45">
      <c r="B49">
        <v>334</v>
      </c>
    </row>
    <row r="50" spans="2:2" x14ac:dyDescent="0.45">
      <c r="B50">
        <v>194</v>
      </c>
    </row>
    <row r="51" spans="2:2" x14ac:dyDescent="0.45">
      <c r="B51">
        <v>105</v>
      </c>
    </row>
    <row r="52" spans="2:2" x14ac:dyDescent="0.45">
      <c r="B52">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884">PABGAEkATABUAEUAUgBTAD4ADQAKADwALwBDAE4AVAA6ADAADQAKAEYASQBMAFQARQBSAFMAPgANAAoAPABQAEEARwBFAFMAPgANAAoAQwBOAFQAOgAz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BOADoAMwANAAoAVABZAFAARQA6ADIADQAKAE4ATQA6AEgAaQBzAHQAbwBnAHIAYQBtADMADQAKAFMASQBNAEkARAA6ADAADQAKAFMARQBMAFMAOgAwAA0ACgBDAFUAUgBTAEUATAA6ADAADQAKADwATwBQAFQASQBPAE4AUwA+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DwALwBQAEEARwBFAFMAPgANAAoA</mr:Charts>
</mr:ModelRisk>
</file>

<file path=customXml/itemProps1.xml><?xml version="1.0" encoding="utf-8"?>
<ds:datastoreItem xmlns:ds="http://schemas.openxmlformats.org/officeDocument/2006/customXml" ds:itemID="{8E79A1C2-5E43-4470-B549-27D62AE88CED}">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29</vt:i4>
      </vt:variant>
    </vt:vector>
  </HeadingPairs>
  <TitlesOfParts>
    <vt:vector size="36" baseType="lpstr">
      <vt:lpstr>About</vt:lpstr>
      <vt:lpstr>Inputs</vt:lpstr>
      <vt:lpstr>Rates</vt:lpstr>
      <vt:lpstr>Results</vt:lpstr>
      <vt:lpstr>ModelRiskDSN</vt:lpstr>
      <vt:lpstr>ModelRiskSYS1</vt:lpstr>
      <vt:lpstr>ModelRiskCharts</vt:lpstr>
      <vt:lpstr>Checks</vt:lpstr>
      <vt:lpstr>EnvMax</vt:lpstr>
      <vt:lpstr>EnvMin</vt:lpstr>
      <vt:lpstr>EnvML</vt:lpstr>
      <vt:lpstr>EnvRate</vt:lpstr>
      <vt:lpstr>HighCut</vt:lpstr>
      <vt:lpstr>HighFlag</vt:lpstr>
      <vt:lpstr>InputMeans</vt:lpstr>
      <vt:lpstr>Interest</vt:lpstr>
      <vt:lpstr>Interest_Hi</vt:lpstr>
      <vt:lpstr>Interest_Lo</vt:lpstr>
      <vt:lpstr>Interest_Mean</vt:lpstr>
      <vt:lpstr>Interest_ML</vt:lpstr>
      <vt:lpstr>InterestOut</vt:lpstr>
      <vt:lpstr>LowCut</vt:lpstr>
      <vt:lpstr>LowFlag</vt:lpstr>
      <vt:lpstr>Mortgage</vt:lpstr>
      <vt:lpstr>MortgageOut</vt:lpstr>
      <vt:lpstr>MortHigh</vt:lpstr>
      <vt:lpstr>MortLow</vt:lpstr>
      <vt:lpstr>MortMax</vt:lpstr>
      <vt:lpstr>MortMin</vt:lpstr>
      <vt:lpstr>MortML</vt:lpstr>
      <vt:lpstr>Rates!Print_Area</vt:lpstr>
      <vt:lpstr>Results!Print_Area</vt:lpstr>
      <vt:lpstr>Inputs!Print_Titles</vt:lpstr>
      <vt:lpstr>Results!Print_Titles</vt:lpstr>
      <vt:lpstr>Rate</vt:lpstr>
      <vt:lpstr>Spread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GU-06 Envelope Correlation: Interest and Mortgage Rates</dc:title>
  <dc:subject>ModelRisk industry example library — General use</dc:subject>
  <dc:creator>Vose Software</dc:creator>
  <cp:keywords>ModelRisk; Monte Carlo; General use</cp:keywords>
  <dc:description>A mortgage rate whose whole range moves with the interest rate: correlation from expert ranges, the envelope method.</dc:description>
  <cp:lastModifiedBy>Timour Koupeev</cp:lastModifiedBy>
  <cp:lastPrinted>2026-10-07T13:07:41Z</cp:lastPrinted>
  <dcterms:created xsi:type="dcterms:W3CDTF">2026-10-07T13:05:19Z</dcterms:created>
  <dcterms:modified xsi:type="dcterms:W3CDTF">2026-10-07T13:07:42Z</dcterms:modified>
</cp:coreProperties>
</file>