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DBEEEB83-2F63-4013-AF0B-1A1D9265AEA8}"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Slate" sheetId="3" r:id="rId3"/>
    <sheet name="Results" sheetId="4" r:id="rId4"/>
    <sheet name="ModelRiskDSN" sheetId="5" state="hidden" r:id="rId5"/>
    <sheet name="ModelRiskSYS1" sheetId="6" state="hidden" r:id="rId6"/>
    <sheet name="ModelRiskCharts" sheetId="7" state="hidden" r:id="rId7"/>
  </sheets>
  <definedNames>
    <definedName name="Checks">Slate!$D$47:$D$47</definedName>
    <definedName name="InputMeans">Inputs!$I$12:$I$27</definedName>
    <definedName name="LocalOnly">Slate!$D$22</definedName>
    <definedName name="MarLocal_Hi">Inputs!$H$20</definedName>
    <definedName name="MarLocal_Lo">Inputs!$F$20</definedName>
    <definedName name="MarLocal_Mean">Inputs!$I$20</definedName>
    <definedName name="MarLocal_ML">Inputs!$G$20</definedName>
    <definedName name="MarPilot_Hi">Inputs!$H$13</definedName>
    <definedName name="MarPilot_Lo">Inputs!$F$13</definedName>
    <definedName name="MarPilot_Mean">Inputs!$I$13</definedName>
    <definedName name="MarPilot_ML">Inputs!$G$13</definedName>
    <definedName name="MarUS_Hi">Inputs!$H$27</definedName>
    <definedName name="MarUS_Lo">Inputs!$F$27</definedName>
    <definedName name="MarUS_Mean">Inputs!$I$27</definedName>
    <definedName name="MarUS_ML">Inputs!$G$27</definedName>
    <definedName name="NoUS">Slate!$D$42</definedName>
    <definedName name="ObjMarLocal">Slate!$D$31</definedName>
    <definedName name="ObjMarPilot">Slate!$D$29</definedName>
    <definedName name="ObjMarUS">Slate!$D$33</definedName>
    <definedName name="ObjRevLocal">Slate!$D$30</definedName>
    <definedName name="ObjRevPilot">Slate!$D$28</definedName>
    <definedName name="ObjRevUS">Slate!$D$32</definedName>
    <definedName name="Pilots">Inputs!$D$11</definedName>
    <definedName name="Pilots_Hi">Inputs!$H$11</definedName>
    <definedName name="Pilots_Lo">Inputs!$F$11</definedName>
    <definedName name="Pilots_ML">Inputs!$G$11</definedName>
    <definedName name="PilotsMade">Slate!$D$19</definedName>
    <definedName name="_xlnm.Print_Area" localSheetId="3">Results!$A$1:$R$49</definedName>
    <definedName name="_xlnm.Print_Titles" localSheetId="1">Inputs!$1:$4</definedName>
    <definedName name="_xlnm.Print_Titles" localSheetId="3">Results!$1:$4</definedName>
    <definedName name="Profit">Slate!$D$41</definedName>
    <definedName name="ProfitLocal">Slate!$D$35</definedName>
    <definedName name="ProfitNoUS">Slate!$D$43</definedName>
    <definedName name="ProfitPilots">Slate!$D$34</definedName>
    <definedName name="ProfitUS">Slate!$D$36</definedName>
    <definedName name="PSeries">Inputs!$D$18</definedName>
    <definedName name="PUS">Inputs!$D$25</definedName>
    <definedName name="RevLocal_Hi">Inputs!$H$19</definedName>
    <definedName name="RevLocal_Lo">Inputs!$F$19</definedName>
    <definedName name="RevLocal_Mean">Inputs!$I$19</definedName>
    <definedName name="RevLocal_ML">Inputs!$G$19</definedName>
    <definedName name="RevPilot_Hi">Inputs!$H$12</definedName>
    <definedName name="RevPilot_Lo">Inputs!$F$12</definedName>
    <definedName name="RevPilot_Mean">Inputs!$I$12</definedName>
    <definedName name="RevPilot_ML">Inputs!$G$12</definedName>
    <definedName name="RevUS_Hi">Inputs!$H$26</definedName>
    <definedName name="RevUS_Lo">Inputs!$F$26</definedName>
    <definedName name="RevUS_Mean">Inputs!$I$26</definedName>
    <definedName name="RevUS_ML">Inputs!$G$26</definedName>
    <definedName name="SeasonsLocal">Slate!$D$23</definedName>
    <definedName name="SeasonsMean">Slate!$D$15</definedName>
    <definedName name="SeasonsObj">Slate!$D$14</definedName>
    <definedName name="SeasonsUS">Slate!$D$24</definedName>
    <definedName name="Series">Slate!$D$20</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USSeries">Slate!$D$21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3" l="1" a="1"/>
  <c r="D33" i="3" s="1"/>
  <c r="D32" i="3" a="1"/>
  <c r="D32" i="3" s="1"/>
  <c r="D31" i="3" a="1"/>
  <c r="D31" i="3" s="1"/>
  <c r="D30" i="3" a="1"/>
  <c r="D30" i="3"/>
  <c r="D29" i="3" a="1"/>
  <c r="D29" i="3" s="1"/>
  <c r="D28" i="3" a="1"/>
  <c r="D28" i="3" s="1"/>
  <c r="D14" i="3" a="1"/>
  <c r="D14" i="3" s="1"/>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D47" i="3"/>
  <c r="B7" i="4"/>
  <c r="D15" i="3" a="1"/>
  <c r="I19" i="2" a="1"/>
  <c r="I13" i="2" a="1"/>
  <c r="I20" i="2" a="1"/>
  <c r="I12" i="2" a="1"/>
  <c r="I26" i="2" a="1"/>
  <c r="I27" i="2" a="1"/>
  <c r="D11" i="2" a="1"/>
  <c r="D15" i="3" l="1"/>
  <c r="D11" i="2"/>
  <c r="D19" i="3" s="1"/>
  <c r="I27" i="2"/>
  <c r="I26" i="2"/>
  <c r="I12" i="2"/>
  <c r="I20" i="2"/>
  <c r="I13" i="2"/>
  <c r="I19" i="2"/>
  <c r="D34" i="3" a="1"/>
  <c r="D20" i="3" a="1"/>
  <c r="D20" i="3" l="1"/>
  <c r="D34" i="3"/>
  <c r="G96" i="4" a="1"/>
  <c r="G66" i="4" a="1"/>
  <c r="G57" i="4" a="1"/>
  <c r="G95" i="4" a="1"/>
  <c r="G103" i="4" a="1"/>
  <c r="G55" i="4" a="1"/>
  <c r="G92" i="4" a="1"/>
  <c r="G91" i="4" a="1"/>
  <c r="G83" i="4" a="1"/>
  <c r="G81" i="4" a="1"/>
  <c r="G104" i="4" a="1"/>
  <c r="G71" i="4" a="1"/>
  <c r="G69" i="4" a="1"/>
  <c r="G94" i="4" a="1"/>
  <c r="G84" i="4" a="1"/>
  <c r="G74" i="4" a="1"/>
  <c r="G73" i="4" a="1"/>
  <c r="G102" i="4" a="1"/>
  <c r="G70" i="4" a="1"/>
  <c r="G59" i="4" a="1"/>
  <c r="G101" i="4" a="1"/>
  <c r="G64" i="4" a="1"/>
  <c r="D20" i="4" a="1"/>
  <c r="G100" i="4" a="1"/>
  <c r="G61" i="4" a="1"/>
  <c r="G99" i="4" a="1"/>
  <c r="G88" i="4" a="1"/>
  <c r="G78" i="4" a="1"/>
  <c r="G60" i="4" a="1"/>
  <c r="G82" i="4" a="1"/>
  <c r="G65" i="4" a="1"/>
  <c r="G80" i="4" a="1"/>
  <c r="G68" i="4" a="1"/>
  <c r="G89" i="4" a="1"/>
  <c r="G87" i="4" a="1"/>
  <c r="G98" i="4" a="1"/>
  <c r="G86" i="4" a="1"/>
  <c r="G77" i="4" a="1"/>
  <c r="G58" i="4" a="1"/>
  <c r="G76" i="4" a="1"/>
  <c r="G63" i="4" a="1"/>
  <c r="G93" i="4" a="1"/>
  <c r="G90" i="4" a="1"/>
  <c r="G79" i="4" a="1"/>
  <c r="G67" i="4" a="1"/>
  <c r="G97" i="4" a="1"/>
  <c r="G85" i="4" a="1"/>
  <c r="G72" i="4" a="1"/>
  <c r="G56" i="4" a="1"/>
  <c r="G75" i="4" a="1"/>
  <c r="G62" i="4" a="1"/>
  <c r="D21" i="3" a="1"/>
  <c r="G62" i="4" l="1"/>
  <c r="G75" i="4"/>
  <c r="G56" i="4"/>
  <c r="G72" i="4"/>
  <c r="G85" i="4"/>
  <c r="G97" i="4"/>
  <c r="G67" i="4"/>
  <c r="G79" i="4"/>
  <c r="G90" i="4"/>
  <c r="G93" i="4"/>
  <c r="G63" i="4"/>
  <c r="G76" i="4"/>
  <c r="G58" i="4"/>
  <c r="G77" i="4"/>
  <c r="G86" i="4"/>
  <c r="G98" i="4"/>
  <c r="G87" i="4"/>
  <c r="G89" i="4"/>
  <c r="G68" i="4"/>
  <c r="G80" i="4"/>
  <c r="G65" i="4"/>
  <c r="G82" i="4"/>
  <c r="G60" i="4"/>
  <c r="G78" i="4"/>
  <c r="G88" i="4"/>
  <c r="G99" i="4"/>
  <c r="G61" i="4"/>
  <c r="G100" i="4"/>
  <c r="D20" i="4"/>
  <c r="G64" i="4"/>
  <c r="G101" i="4"/>
  <c r="G59" i="4"/>
  <c r="G70" i="4"/>
  <c r="G102" i="4"/>
  <c r="G73" i="4"/>
  <c r="G74" i="4"/>
  <c r="G84" i="4"/>
  <c r="G94" i="4"/>
  <c r="G69" i="4"/>
  <c r="G71" i="4"/>
  <c r="G104" i="4"/>
  <c r="G81" i="4"/>
  <c r="G83" i="4"/>
  <c r="G91" i="4"/>
  <c r="G92" i="4"/>
  <c r="G55" i="4"/>
  <c r="G103" i="4"/>
  <c r="G95" i="4"/>
  <c r="G57" i="4"/>
  <c r="G66" i="4"/>
  <c r="G96" i="4"/>
  <c r="D21" i="3"/>
  <c r="D22" i="3" s="1"/>
  <c r="D24" i="3" a="1"/>
  <c r="D23" i="3" a="1"/>
  <c r="D23" i="3" l="1"/>
  <c r="D24" i="3"/>
  <c r="D42" i="3"/>
  <c r="D27" i="4" a="1"/>
  <c r="D36" i="3" a="1"/>
  <c r="D35" i="3" a="1"/>
  <c r="D27" i="4" l="1"/>
  <c r="D35" i="3"/>
  <c r="D36" i="3"/>
  <c r="F102" i="4" a="1"/>
  <c r="F83" i="4" a="1"/>
  <c r="F101" i="4" a="1"/>
  <c r="F60" i="4" a="1"/>
  <c r="F77" i="4" a="1"/>
  <c r="F59" i="4" a="1"/>
  <c r="F74" i="4" a="1"/>
  <c r="F58" i="4" a="1"/>
  <c r="F93" i="4" a="1"/>
  <c r="F67" i="4" a="1"/>
  <c r="F66" i="4" a="1"/>
  <c r="F100" i="4" a="1"/>
  <c r="F94" i="4" a="1"/>
  <c r="F73" i="4" a="1"/>
  <c r="F92" i="4" a="1"/>
  <c r="F85" i="4" a="1"/>
  <c r="F65" i="4" a="1"/>
  <c r="F84" i="4" a="1"/>
  <c r="D21" i="4" a="1"/>
  <c r="F99" i="4" a="1"/>
  <c r="F57" i="4" a="1"/>
  <c r="F71" i="4" a="1"/>
  <c r="F89" i="4" a="1"/>
  <c r="F80" i="4" a="1"/>
  <c r="F62" i="4" a="1"/>
  <c r="F97" i="4" a="1"/>
  <c r="F88" i="4" a="1"/>
  <c r="F76" i="4" a="1"/>
  <c r="F55" i="4" a="1"/>
  <c r="F64" i="4" a="1"/>
  <c r="F82" i="4" a="1"/>
  <c r="F91" i="4" a="1"/>
  <c r="F98" i="4" a="1"/>
  <c r="F81" i="4" a="1"/>
  <c r="F79" i="4" a="1"/>
  <c r="F69" i="4" a="1"/>
  <c r="F104" i="4" a="1"/>
  <c r="F96" i="4" a="1"/>
  <c r="F87" i="4" a="1"/>
  <c r="F75" i="4" a="1"/>
  <c r="F72" i="4" a="1"/>
  <c r="F90" i="4" a="1"/>
  <c r="F63" i="4" a="1"/>
  <c r="F56" i="4" a="1"/>
  <c r="F70" i="4" a="1"/>
  <c r="F78" i="4" a="1"/>
  <c r="F68" i="4" a="1"/>
  <c r="F103" i="4" a="1"/>
  <c r="F95" i="4" a="1"/>
  <c r="F86" i="4" a="1"/>
  <c r="F61" i="4" a="1"/>
  <c r="E104" i="4" a="1"/>
  <c r="E100" i="4" a="1"/>
  <c r="E69" i="4" a="1"/>
  <c r="E80" i="4" a="1"/>
  <c r="E99" i="4" a="1"/>
  <c r="E67" i="4" a="1"/>
  <c r="E79" i="4" a="1"/>
  <c r="E60" i="4" a="1"/>
  <c r="E92" i="4" a="1"/>
  <c r="E62" i="4" a="1"/>
  <c r="E61" i="4" a="1"/>
  <c r="E59" i="4" a="1"/>
  <c r="E76" i="4" a="1"/>
  <c r="E93" i="4" a="1"/>
  <c r="E78" i="4" a="1"/>
  <c r="E91" i="4" a="1"/>
  <c r="E77" i="4" a="1"/>
  <c r="D22" i="4" a="1"/>
  <c r="E101" i="4" a="1"/>
  <c r="E75" i="4" a="1"/>
  <c r="E68" i="4" a="1"/>
  <c r="E90" i="4" a="1"/>
  <c r="E86" i="4" a="1"/>
  <c r="E97" i="4" a="1"/>
  <c r="E85" i="4" a="1"/>
  <c r="E65" i="4" a="1"/>
  <c r="E56" i="4" a="1"/>
  <c r="E96" i="4" a="1"/>
  <c r="E88" i="4" a="1"/>
  <c r="E72" i="4" a="1"/>
  <c r="E87" i="4" a="1"/>
  <c r="E98" i="4" a="1"/>
  <c r="E74" i="4" a="1"/>
  <c r="E57" i="4" a="1"/>
  <c r="E73" i="4" a="1"/>
  <c r="E84" i="4" a="1"/>
  <c r="E64" i="4" a="1"/>
  <c r="E103" i="4" a="1"/>
  <c r="E95" i="4" a="1"/>
  <c r="E83" i="4" a="1"/>
  <c r="E71" i="4" a="1"/>
  <c r="E58" i="4" a="1"/>
  <c r="E55" i="4" a="1"/>
  <c r="E66" i="4" a="1"/>
  <c r="E89" i="4" a="1"/>
  <c r="E81" i="4" a="1"/>
  <c r="E63" i="4" a="1"/>
  <c r="E102" i="4" a="1"/>
  <c r="E94" i="4" a="1"/>
  <c r="E82" i="4" a="1"/>
  <c r="E70" i="4" a="1"/>
  <c r="E70" i="4" l="1"/>
  <c r="E82" i="4"/>
  <c r="E94" i="4"/>
  <c r="E102" i="4"/>
  <c r="E63" i="4"/>
  <c r="E81" i="4"/>
  <c r="E89" i="4"/>
  <c r="E66" i="4"/>
  <c r="E55" i="4"/>
  <c r="E58" i="4"/>
  <c r="E71" i="4"/>
  <c r="E83" i="4"/>
  <c r="E95" i="4"/>
  <c r="E103" i="4"/>
  <c r="E64" i="4"/>
  <c r="E84" i="4"/>
  <c r="E73" i="4"/>
  <c r="E57" i="4"/>
  <c r="E74" i="4"/>
  <c r="E98" i="4"/>
  <c r="E87" i="4"/>
  <c r="E72" i="4"/>
  <c r="E88" i="4"/>
  <c r="E96" i="4"/>
  <c r="E56" i="4"/>
  <c r="E65" i="4"/>
  <c r="E85" i="4"/>
  <c r="E97" i="4"/>
  <c r="E86" i="4"/>
  <c r="E90" i="4"/>
  <c r="E68" i="4"/>
  <c r="E75" i="4"/>
  <c r="E101" i="4"/>
  <c r="D22" i="4"/>
  <c r="E77" i="4"/>
  <c r="E91" i="4"/>
  <c r="E78" i="4"/>
  <c r="E93" i="4"/>
  <c r="E76" i="4"/>
  <c r="E59" i="4"/>
  <c r="E61" i="4"/>
  <c r="E62" i="4"/>
  <c r="E92" i="4"/>
  <c r="E60" i="4"/>
  <c r="E79" i="4"/>
  <c r="E67" i="4"/>
  <c r="E99" i="4"/>
  <c r="E80" i="4"/>
  <c r="E69" i="4"/>
  <c r="E100" i="4"/>
  <c r="E104" i="4"/>
  <c r="F61" i="4"/>
  <c r="F86" i="4"/>
  <c r="F95" i="4"/>
  <c r="F103" i="4"/>
  <c r="F68" i="4"/>
  <c r="F78" i="4"/>
  <c r="F70" i="4"/>
  <c r="F56" i="4"/>
  <c r="F63" i="4"/>
  <c r="F90" i="4"/>
  <c r="F72" i="4"/>
  <c r="F75" i="4"/>
  <c r="F87" i="4"/>
  <c r="F96" i="4"/>
  <c r="F104" i="4"/>
  <c r="F69" i="4"/>
  <c r="F79" i="4"/>
  <c r="F81" i="4"/>
  <c r="F98" i="4"/>
  <c r="F91" i="4"/>
  <c r="F82" i="4"/>
  <c r="F64" i="4"/>
  <c r="F55" i="4"/>
  <c r="F76" i="4"/>
  <c r="F88" i="4"/>
  <c r="F97" i="4"/>
  <c r="F62" i="4"/>
  <c r="F80" i="4"/>
  <c r="F89" i="4"/>
  <c r="F71" i="4"/>
  <c r="F57" i="4"/>
  <c r="F99" i="4"/>
  <c r="D21" i="4"/>
  <c r="F84" i="4"/>
  <c r="F65" i="4"/>
  <c r="F85" i="4"/>
  <c r="F92" i="4"/>
  <c r="F73" i="4"/>
  <c r="F94" i="4"/>
  <c r="F100" i="4"/>
  <c r="F66" i="4"/>
  <c r="F67" i="4"/>
  <c r="F93" i="4"/>
  <c r="F58" i="4"/>
  <c r="F74" i="4"/>
  <c r="F59" i="4"/>
  <c r="F77" i="4"/>
  <c r="F60" i="4"/>
  <c r="F101" i="4"/>
  <c r="F83" i="4"/>
  <c r="F102" i="4"/>
  <c r="D41" i="3" a="1"/>
  <c r="D41" i="3" s="1"/>
  <c r="D100" i="4" a="1"/>
  <c r="D78" i="4" a="1"/>
  <c r="D12" i="4" a="1"/>
  <c r="D61" i="4" a="1"/>
  <c r="B34" i="4" a="1"/>
  <c r="D99" i="4" a="1"/>
  <c r="D77" i="4" a="1"/>
  <c r="E15" i="4" a="1"/>
  <c r="D60" i="4" a="1"/>
  <c r="D98" i="4" a="1"/>
  <c r="B6" i="4" a="1"/>
  <c r="D71" i="4" a="1"/>
  <c r="D86" i="4" a="1"/>
  <c r="D69" i="4" a="1"/>
  <c r="D68" i="4" a="1"/>
  <c r="D76" i="4" a="1"/>
  <c r="D58" i="4" a="1"/>
  <c r="D92" i="4" a="1"/>
  <c r="D94" i="4" a="1"/>
  <c r="D91" i="4" a="1"/>
  <c r="D70" i="4" a="1"/>
  <c r="D90" i="4" a="1"/>
  <c r="D85" i="4" a="1"/>
  <c r="D89" i="4" a="1"/>
  <c r="D84" i="4" a="1"/>
  <c r="D101" i="4" a="1"/>
  <c r="D79" i="4" a="1"/>
  <c r="D55" i="4" a="1"/>
  <c r="D62" i="4" a="1"/>
  <c r="D88" i="4" a="1"/>
  <c r="D28" i="4" a="1"/>
  <c r="D96" i="4" a="1"/>
  <c r="D65" i="4" a="1"/>
  <c r="D81" i="4" a="1"/>
  <c r="D97" i="4" a="1"/>
  <c r="D67" i="4" a="1"/>
  <c r="D57" i="4" a="1"/>
  <c r="D87" i="4" a="1"/>
  <c r="D15" i="4" a="1"/>
  <c r="D103" i="4" a="1"/>
  <c r="D83" i="4" a="1"/>
  <c r="D73" i="4" a="1"/>
  <c r="D64" i="4" a="1"/>
  <c r="G15" i="4" a="1"/>
  <c r="D66" i="4" a="1"/>
  <c r="F15" i="4" a="1"/>
  <c r="D106" i="4" a="1"/>
  <c r="D75" i="4" a="1"/>
  <c r="D82" i="4" a="1"/>
  <c r="D104" i="4" a="1"/>
  <c r="D74" i="4" a="1"/>
  <c r="D56" i="4" a="1"/>
  <c r="D95" i="4" a="1"/>
  <c r="D102" i="4" a="1"/>
  <c r="D93" i="4" a="1"/>
  <c r="D80" i="4" a="1"/>
  <c r="D72" i="4" a="1"/>
  <c r="D59" i="4" a="1"/>
  <c r="D13" i="4" a="1"/>
  <c r="D63" i="4" a="1"/>
  <c r="D63" i="4" l="1"/>
  <c r="D13" i="4"/>
  <c r="D59" i="4"/>
  <c r="D72" i="4"/>
  <c r="D80" i="4"/>
  <c r="D93" i="4"/>
  <c r="D102" i="4"/>
  <c r="D95" i="4"/>
  <c r="D56" i="4"/>
  <c r="D74" i="4"/>
  <c r="D104" i="4"/>
  <c r="D82" i="4"/>
  <c r="D75" i="4"/>
  <c r="D106" i="4"/>
  <c r="F15" i="4"/>
  <c r="D66" i="4"/>
  <c r="G15" i="4"/>
  <c r="D64" i="4"/>
  <c r="D73" i="4"/>
  <c r="D83" i="4"/>
  <c r="D103" i="4"/>
  <c r="D15" i="4"/>
  <c r="D87" i="4"/>
  <c r="D57" i="4"/>
  <c r="D67" i="4"/>
  <c r="D97" i="4"/>
  <c r="D81" i="4"/>
  <c r="D65" i="4"/>
  <c r="D96" i="4"/>
  <c r="D28" i="4"/>
  <c r="D88" i="4"/>
  <c r="D62" i="4"/>
  <c r="D55" i="4"/>
  <c r="D79" i="4"/>
  <c r="D101" i="4"/>
  <c r="D84" i="4"/>
  <c r="D89" i="4"/>
  <c r="D85" i="4"/>
  <c r="D90" i="4"/>
  <c r="D70" i="4"/>
  <c r="D91" i="4"/>
  <c r="D94" i="4"/>
  <c r="D92" i="4"/>
  <c r="D58" i="4"/>
  <c r="D76" i="4"/>
  <c r="D68" i="4"/>
  <c r="D69" i="4"/>
  <c r="D86" i="4"/>
  <c r="D71" i="4"/>
  <c r="B6" i="4"/>
  <c r="D98" i="4"/>
  <c r="D60" i="4"/>
  <c r="E15" i="4"/>
  <c r="D77" i="4"/>
  <c r="D99" i="4"/>
  <c r="D37" i="4"/>
  <c r="F111" i="4" s="1"/>
  <c r="E37" i="4"/>
  <c r="C37" i="4"/>
  <c r="D34" i="4"/>
  <c r="D35" i="4"/>
  <c r="E36" i="4"/>
  <c r="E35" i="4"/>
  <c r="D36" i="4"/>
  <c r="F110" i="4" s="1"/>
  <c r="E34" i="4"/>
  <c r="B34" i="4"/>
  <c r="B108" i="4" s="1"/>
  <c r="C35" i="4"/>
  <c r="C36" i="4"/>
  <c r="B37" i="4"/>
  <c r="B111" i="4" s="1"/>
  <c r="B35" i="4"/>
  <c r="B109" i="4" s="1"/>
  <c r="C34" i="4"/>
  <c r="G108" i="4" s="1"/>
  <c r="B36" i="4"/>
  <c r="B110" i="4" s="1"/>
  <c r="D61" i="4"/>
  <c r="D12" i="4"/>
  <c r="D78" i="4"/>
  <c r="D100" i="4"/>
  <c r="D43" i="3"/>
  <c r="E22" i="4"/>
  <c r="E21" i="4"/>
  <c r="E20" i="4"/>
  <c r="D29" i="4" a="1"/>
  <c r="D29" i="4" l="1"/>
  <c r="D30" i="4" s="1"/>
  <c r="F109" i="4"/>
  <c r="G110" i="4"/>
  <c r="G111" i="4"/>
  <c r="F108" i="4"/>
  <c r="G10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<sst xmlns="http://schemas.openxmlformats.org/spreadsheetml/2006/main" count="318" uniqueCount="238">
  <si>
    <t>Profits from Expanding Investments (TV Series)</t>
  </si>
  <si>
    <t>ModelRisk example  ·  General use  ·  GU-05</t>
  </si>
  <si>
    <t>Where does a TV studio's profit come from?  A few pilots become series, a few series sell abroad, and they pay for the rest.</t>
  </si>
  <si>
    <t>Next:  Inputs  ▸</t>
  </si>
  <si>
    <t>Model card</t>
  </si>
  <si>
    <t>Industry</t>
  </si>
  <si>
    <t>General use</t>
  </si>
  <si>
    <t>Difficulty</t>
  </si>
  <si>
    <t>★★★★☆   A chain of random counts (pilots, series, US sales, seasons) and profits summed over random numbers of draws.</t>
  </si>
  <si>
    <t>Business question</t>
  </si>
  <si>
    <t>A TV studio makes about thirty pilots a year. About a third become local series, which run for one to five seasons, and a fifth of those are also sold to a US network. What profit does this year's slate make, how widely can it vary, and how much of it depends on the rare US sales?</t>
  </si>
  <si>
    <t>Who it is for</t>
  </si>
  <si>
    <t>Analysts of portfolios in which a few successes pay for many small bets: media, drug development, venture capital, exploration.</t>
  </si>
  <si>
    <t>Main outputs</t>
  </si>
  <si>
    <t>The slate's profit at P10 / P50 / P90 · the profit from pilots, local broadcasts and US sales · the chance of a year without a US sale and the profit in such a year.</t>
  </si>
  <si>
    <t>ModelRisk techniques</t>
  </si>
  <si>
    <t>A random number of random things: VoseBinomial for the funnel, VoseAggregateMC for the seasons of a random number of series, VoseSumProduct for revenue × margin summed over a random number of pilots or seasons, each with its own draws · distribution objects (VosePERTObject, VoseDiscreteObject) · a PERT rounded to whole pilots.</t>
  </si>
  <si>
    <t>File</t>
  </si>
  <si>
    <t>GU-05 Profits from expanding investments TV series  ·  Version 1.0  ·  October 2026  ·  re-issues the example TV Series Profits  ·  built with ModelRisk 10</t>
  </si>
  <si>
    <t>The business question</t>
  </si>
  <si>
    <t>A TV studio makes between 28 and 39 pilots a year. Each pilot earns its own revenue at a thin margin. A pilot has a 35% chance of becoming a local series, which then runs for one to five seasons: one season is the most likely, five the least. A local series has a 20% chance of being sold to a US network as well, which pays much more per season at a much higher margin. Every pilot and every season has its own revenue and margin. The question is the profit from this year's slate, and how much of it rests on the handful of series that sell to the US.</t>
  </si>
  <si>
    <t>How the model works</t>
  </si>
  <si>
    <t>Three sheets after this one, read from left to right. Each one feeds the next.</t>
  </si>
  <si>
    <t>1  Inputs</t>
  </si>
  <si>
    <t>The number of pilots (a PERT rounded to whole pilots), the chances that a pilot becomes a series and that a series sells to the US, and PERT ranges for each revenue and margin.</t>
  </si>
  <si>
    <t>2  Slate</t>
  </si>
  <si>
    <t>VoseBinomial turns pilots into series and series into US sales. VoseAggregateMC adds up the seasons of a random number of series, each drawn from the seasons distribution. VoseSumProduct adds up revenue × margin over a random number of pilots or seasons, each with its own revenue and margin.</t>
  </si>
  <si>
    <t>3  Results</t>
  </si>
  <si>
    <t>The profit's range, the mean profit from pilots, local broadcasts and US sales, and the profit in a year in which no series sells to the US.</t>
  </si>
  <si>
    <t>How to use it</t>
  </si>
  <si>
    <t>Step 1</t>
  </si>
  <si>
    <t>Change the numbers of pilots, the conversion chances, revenues and margins on the Inputs sheet.</t>
  </si>
  <si>
    <t>Step 2</t>
  </si>
  <si>
    <t>Change the seasons distribution on the Slate sheet.</t>
  </si>
  <si>
    <t>Step 3</t>
  </si>
  <si>
    <t>Run a simulation from the ModelRisk ribbon (10,000 samples with a fixed seed are set).</t>
  </si>
  <si>
    <t>Step 4</t>
  </si>
  <si>
    <t>Look at how the profit depends on the US sales before deciding how many pilots to make.</t>
  </si>
  <si>
    <t>Workbook map</t>
  </si>
  <si>
    <t>Inputs</t>
  </si>
  <si>
    <t>Pilots, conversion chances, revenues and margins.</t>
  </si>
  <si>
    <t>Slate</t>
  </si>
  <si>
    <t>Seasons per series, this year's funnel and the profit by source; outputs and checks.</t>
  </si>
  <si>
    <t>Results</t>
  </si>
  <si>
    <t>Profit range and sources, and what a year without a US sale looks like.</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</si>
  <si>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</si>
  <si>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</si>
  <si>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</si>
  <si>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</si>
  <si>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</si>
  <si>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</si>
  <si>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</si>
  <si>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</si>
  <si>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</si>
  <si>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</si>
  <si>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</si>
  <si>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</si>
  <si>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</si>
  <si>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thousand (US$k).</t>
  </si>
  <si>
    <t>Revenue and margin</t>
  </si>
  <si>
    <t>Per pilot and per season; profit = revenue × margin.</t>
  </si>
  <si>
    <t>Local broadcasts</t>
  </si>
  <si>
    <t>Every series is broadcast locally, including those also sold to the US.</t>
  </si>
  <si>
    <t>Key assumptions and limitations</t>
  </si>
  <si>
    <t>Independence</t>
  </si>
  <si>
    <t>Every pilot and every season has its own revenue and margin; a series' seasons are independent of whether it sells to the US.</t>
  </si>
  <si>
    <t>One year's slate</t>
  </si>
  <si>
    <t>The profit of this year's pilots and all the seasons of the series they lead to, not discounted.</t>
  </si>
  <si>
    <t>Data</t>
  </si>
  <si>
    <t>The studio is invented for this example; the figures are those of ModelRisk's earlier TV Series Profits example.</t>
  </si>
  <si>
    <t>ModelRisk functions used</t>
  </si>
  <si>
    <t>VoseBinomial</t>
  </si>
  <si>
    <t>How many pilots become series, and how many series sell to the US.</t>
  </si>
  <si>
    <t>VoseDiscreteObject, VoseAggregateMC</t>
  </si>
  <si>
    <t>The seasons of a random number of series: the sum of that many draws from the seasons distribution.</t>
  </si>
  <si>
    <t>VosePERTObject, VoseSumProduct</t>
  </si>
  <si>
    <t>Revenue × margin added up over a random number of pilots or seasons, each with its own draws.</t>
  </si>
  <si>
    <t>VosePERT</t>
  </si>
  <si>
    <t>The number of pilots: a PERT from 27.5 to 39.5, rounded, so each whole number from 28 to 39 can happen.</t>
  </si>
  <si>
    <t>VoseInput, VoseOutput</t>
  </si>
  <si>
    <t>Name the number of pilots, the profit by source and the total.</t>
  </si>
  <si>
    <t>VoseSimMean, VoseSimPercentile</t>
  </si>
  <si>
    <t>Statistics of the simulation.</t>
  </si>
  <si>
    <t>VoseSimSensitivityMean</t>
  </si>
  <si>
    <t>The tornado chart: what moves the mean profit.</t>
  </si>
  <si>
    <t>Further reading</t>
  </si>
  <si>
    <t>Random sums</t>
  </si>
  <si>
    <t>Vose, D. (2008). Risk Analysis: A Quantitative Guide, 3rd edition. Wiley: sums of a random number of random variables.</t>
  </si>
  <si>
    <t>© 2026 Vose Software   ·   www.vosesoftware.com   ·   An illustrative example: the figures are invented for teaching and do not describe a real company, project or asset.</t>
  </si>
  <si>
    <t>INPUTS   ·   Pilots, conversion chances, revenues and margins. The seasons a series runs are on the Slate sheet. Change only the yellow cells.</t>
  </si>
  <si>
    <t>◂  About</t>
  </si>
  <si>
    <t>Next:  Slate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</si>
  <si>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</si>
  <si>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Pilots</t>
  </si>
  <si>
    <t>How many pilots the studio makes this year, and what each earns.</t>
  </si>
  <si>
    <t>Assumption</t>
  </si>
  <si>
    <t>Unit</t>
  </si>
  <si>
    <t>Value in model</t>
  </si>
  <si>
    <t>Uncertainty</t>
  </si>
  <si>
    <t>Low</t>
  </si>
  <si>
    <t>Most likely</t>
  </si>
  <si>
    <t>High</t>
  </si>
  <si>
    <t>Mean</t>
  </si>
  <si>
    <t>Basis / source (illustrative)</t>
  </si>
  <si>
    <t>Number of new pilots</t>
  </si>
  <si>
    <t>pilots</t>
  </si>
  <si>
    <t>PERT, rounded</t>
  </si>
  <si>
    <t>Each whole number from 28 to 39 can happen; 32 is the most likely.</t>
  </si>
  <si>
    <t>Revenue per pilot</t>
  </si>
  <si>
    <t>US$k</t>
  </si>
  <si>
    <t>–</t>
  </si>
  <si>
    <t>PERT  · drawn elsewhere</t>
  </si>
  <si>
    <t>Each pilot draws its own.</t>
  </si>
  <si>
    <t>Profit margin on a pilot</t>
  </si>
  <si>
    <t>of revenue</t>
  </si>
  <si>
    <t>Pilots barely pay for themselves.</t>
  </si>
  <si>
    <t>2   Series</t>
  </si>
  <si>
    <t>What happens to a pilot that becomes a series.</t>
  </si>
  <si>
    <t>Chance that a pilot becomes a local series</t>
  </si>
  <si>
    <t>probability</t>
  </si>
  <si>
    <t>Fixed</t>
  </si>
  <si>
    <t>Revenue per season, local broadcast</t>
  </si>
  <si>
    <t>Each season draws its own.</t>
  </si>
  <si>
    <t>Profit margin on a local season</t>
  </si>
  <si>
    <t>3   US sales</t>
  </si>
  <si>
    <t>A local series that is also sold to a US network.</t>
  </si>
  <si>
    <t>Chance that a local series is sold to the US</t>
  </si>
  <si>
    <t>Revenue per season from the US</t>
  </si>
  <si>
    <t>Profit margin on US revenue</t>
  </si>
  <si>
    <t>SLATE   ·   This year's pilots, the series and US sales they lead to, and the profit from each.</t>
  </si>
  <si>
    <t>◂  Inputs</t>
  </si>
  <si>
    <t>Next:  Results  ▸</t>
  </si>
  <si>
    <t>1   Seasons a series runs</t>
  </si>
  <si>
    <t>Yellow cells are inputs: the chance of each number of seasons.</t>
  </si>
  <si>
    <t>A series runs for</t>
  </si>
  <si>
    <t>Seasons</t>
  </si>
  <si>
    <t>Probability</t>
  </si>
  <si>
    <t>1 season</t>
  </si>
  <si>
    <t>2 seasons</t>
  </si>
  <si>
    <t>3 seasons</t>
  </si>
  <si>
    <t>4 seasons</t>
  </si>
  <si>
    <t>5 seasons</t>
  </si>
  <si>
    <t>Seasons per series  (object)</t>
  </si>
  <si>
    <t>object</t>
  </si>
  <si>
    <t>VoseDiscreteObject(seasons, probabilities): used by VoseAggregateMC below</t>
  </si>
  <si>
    <t>Mean seasons per series</t>
  </si>
  <si>
    <t>seasons</t>
  </si>
  <si>
    <t>2   This year's funnel</t>
  </si>
  <si>
    <t>From pilots to series to US sales, and the seasons they run.</t>
  </si>
  <si>
    <t>Pilots made</t>
  </si>
  <si>
    <t>From the Inputs sheet</t>
  </si>
  <si>
    <t>Pilots that become local series</t>
  </si>
  <si>
    <t>series</t>
  </si>
  <si>
    <t>VoseBinomial(pilots, chance)</t>
  </si>
  <si>
    <t>Series also sold to the US</t>
  </si>
  <si>
    <t>VoseBinomial(series, chance)</t>
  </si>
  <si>
    <t>Series shown locally only</t>
  </si>
  <si>
    <t>Seasons of the local-only series</t>
  </si>
  <si>
    <t>VoseAggregateMC(number of series, seasons object): one draw per series, added up</t>
  </si>
  <si>
    <t>Seasons of the series sold to the US</t>
  </si>
  <si>
    <t>The same for the series sold to the US</t>
  </si>
  <si>
    <t>3   Profit</t>
  </si>
  <si>
    <t>Revenue × margin, added up over every pilot and season, each with its own draws.</t>
  </si>
  <si>
    <t>Revenue per pilot  (object)</t>
  </si>
  <si>
    <t>VosePERTObject(low, most likely, high) from the Inputs sheet</t>
  </si>
  <si>
    <t>Margin on a pilot  (object)</t>
  </si>
  <si>
    <t>Revenue per local season  (object)</t>
  </si>
  <si>
    <t>Margin on a local season  (object)</t>
  </si>
  <si>
    <t>Revenue per US season  (object)</t>
  </si>
  <si>
    <t>Margin on US revenue  (object)</t>
  </si>
  <si>
    <t>Profit from the pilots</t>
  </si>
  <si>
    <t>VoseSumProduct(pilots, revenue, margin): each pilot's revenue × margin, added up</t>
  </si>
  <si>
    <t>Profit from local broadcasts</t>
  </si>
  <si>
    <t>Every series is broadcast locally, including those sold to the US</t>
  </si>
  <si>
    <t>Profit from US sales</t>
  </si>
  <si>
    <t>Only the seasons of the series sold to the US</t>
  </si>
  <si>
    <t>4   Value in this iteration</t>
  </si>
  <si>
    <t>Key outputs, recorded by ModelRisk at every sample (VoseOutput). Their statistics appear on the Results sheet.</t>
  </si>
  <si>
    <t>Output</t>
  </si>
  <si>
    <t>Value</t>
  </si>
  <si>
    <t>Meaning</t>
  </si>
  <si>
    <t>Profit from this year's slate</t>
  </si>
  <si>
    <t>Pilots + local broadcasts + US sales.</t>
  </si>
  <si>
    <t>No series sold to the US?  (1 = yes)</t>
  </si>
  <si>
    <t>1 / 0</t>
  </si>
  <si>
    <t>Profit if no series sold to the US  (else 0)</t>
  </si>
  <si>
    <t>Its mean, divided by the chance of no US sale, is the mean profit in such a year.</t>
  </si>
  <si>
    <t>5   Model checks</t>
  </si>
  <si>
    <t>Should all read OK. A CHECK means an input has been set outside the range the model is built for.</t>
  </si>
  <si>
    <t>The seasons probabilities add up to 100%</t>
  </si>
  <si>
    <t>RESULTS   ·   Filled in automatically from the last simulation. Run a simulation after changing any input.</t>
  </si>
  <si>
    <t>◂  Slate</t>
  </si>
  <si>
    <t>1   Profit from this year's slate</t>
  </si>
  <si>
    <t>Profit — total and by source</t>
  </si>
  <si>
    <t>The profit of this year's pilots and of every season of the series they lead to.</t>
  </si>
  <si>
    <t>Measure</t>
  </si>
  <si>
    <t>Mean profit</t>
  </si>
  <si>
    <t>Chance of a profit below US$2 million</t>
  </si>
  <si>
    <t>10th pct</t>
  </si>
  <si>
    <t>Median</t>
  </si>
  <si>
    <t>90th pct</t>
  </si>
  <si>
    <t>Profit</t>
  </si>
  <si>
    <t>2   Where the profit comes from</t>
  </si>
  <si>
    <t>Mean profit from each source, and its share of the mean total.</t>
  </si>
  <si>
    <t>Source</t>
  </si>
  <si>
    <t>Share</t>
  </si>
  <si>
    <t>Pilots</t>
  </si>
  <si>
    <t>US sales</t>
  </si>
  <si>
    <t>3   A year without a US sale</t>
  </si>
  <si>
    <t>What the slate makes when none of its series sells to the US.</t>
  </si>
  <si>
    <t>Chance that no series sells to the US</t>
  </si>
  <si>
    <t>Mean profit over all years</t>
  </si>
  <si>
    <t>Mean of profit × (no US sale)</t>
  </si>
  <si>
    <t>Mean profit in a year without a US sale</t>
  </si>
  <si>
    <t>4   What moves the profit</t>
  </si>
  <si>
    <t>What moves the profit  (US$k)</t>
  </si>
  <si>
    <t>Lowest and highest mean profit over ten equal groups of each input (VoseSimSensitivityMean).</t>
  </si>
  <si>
    <t>Input (ranked by influence)</t>
  </si>
  <si>
    <t>Lowest mean</t>
  </si>
  <si>
    <t>Highest mean</t>
  </si>
  <si>
    <t>Rank</t>
  </si>
  <si>
    <t>5   How to read these results</t>
  </si>
  <si>
    <t>•  Pilots barely pay for themselves; the profit comes from the few that become series, and above all from the few series that sell to the US: about two series in ten, but about 60% of the mean profit.</t>
  </si>
  <si>
    <t>•  So the profit is wide and skewed: the 90th percentile is roughly four times the 10th. A year in which no series sells to the US, about one in ten, makes about a third of an average year.</t>
  </si>
  <si>
    <t>•  The counts are random at every step: how many pilots become series, how many of those sell, how many seasons each runs. VoseAggregateMC and VoseSumProduct add up a random number of draws, which is why there is no table of series here.</t>
  </si>
  <si>
    <t>•  To judge a slate, look at the whole distribution, not at one most likely series: the business is a portfolio of long shots.</t>
  </si>
  <si>
    <t>Chart data</t>
  </si>
  <si>
    <t>Statistics of the last simulation behind the charts and the ranking above. Grouped: click + in the left margin to show them.</t>
  </si>
  <si>
    <t>Cumulative probability</t>
  </si>
  <si>
    <t>Exceedance</t>
  </si>
  <si>
    <t>ProfitUS</t>
  </si>
  <si>
    <t>ProfitLocal</t>
  </si>
  <si>
    <t>ProfitPilots</t>
  </si>
  <si>
    <t>Overall mean of Profit</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</si>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</sst>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0\);&quot;–&quot;_)"/>
    <numFmt numFmtId="165" formatCode="#,##0_);\(#,##0\);&quot;–&quot;_);&quot;–&quot;"/>
    <numFmt numFmtId="166" formatCode="0.0%;\-0.0%;0.0%;&quot;–&quot;"/>
    <numFmt numFmtId="167" formatCode="0%;\-0%;0%;&quot;–&quot;"/>
    <numFmt numFmtId="168" formatCode="0;\-0;0;&quot;–&quot;"/>
  </numFmts>
  <fonts count="24"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b/>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9"/>
      <color rgb="FF8AA0BA"/>
      <name val="Calibri"/>
      <family val="2"/>
      <charset val="204"/>
    </font>
    <font>
      <b/>
      <sz val="10"/>
      <color rgb="FF15803D"/>
      <name val="Calibri"/>
      <family val="2"/>
      <charset val="204"/>
    </font>
    <font>
      <b/>
      <sz val="13"/>
      <color rgb="FF0E4F92"/>
      <name val="Calibri"/>
      <family val="2"/>
      <charset val="204"/>
    </font>
    <font>
      <sz val="10"/>
      <color rgb="FF3F5876"/>
      <name val="Calibri"/>
      <family val="2"/>
      <charset val="204"/>
    </font>
    <font>
      <b/>
      <sz val="11"/>
      <color rgb="FF0E4F92"/>
      <name val="Calibri"/>
      <family val="2"/>
      <charset val="204"/>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6">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 fontId="2" fillId="3" borderId="7" xfId="2" applyNumberFormat="1" applyBorder="1">
      <alignment horizontal="right" vertical="center"/>
    </xf>
    <xf numFmtId="1"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9" fillId="0" borderId="6" xfId="0" applyFont="1" applyBorder="1" applyAlignment="1">
      <alignment horizontal="center" vertical="center"/>
    </xf>
    <xf numFmtId="164" fontId="1" fillId="2" borderId="7" xfId="1" applyNumberFormat="1" applyBorder="1">
      <alignment horizontal="right" vertical="center"/>
    </xf>
    <xf numFmtId="164" fontId="3" fillId="0" borderId="8" xfId="3" applyNumberFormat="1" applyBorder="1">
      <alignment horizontal="right" vertical="center"/>
    </xf>
    <xf numFmtId="9" fontId="1" fillId="2" borderId="7" xfId="1" applyNumberFormat="1" applyBorder="1">
      <alignment horizontal="right" vertical="center"/>
    </xf>
    <xf numFmtId="9"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 fontId="3" fillId="0" borderId="8" xfId="3" applyNumberFormat="1" applyBorder="1">
      <alignment horizontal="right" vertical="center"/>
    </xf>
    <xf numFmtId="0" fontId="3" fillId="0" borderId="8" xfId="3" applyBorder="1" applyAlignment="1">
      <alignment horizontal="left" vertical="center" indent="1"/>
    </xf>
    <xf numFmtId="2" fontId="3" fillId="0" borderId="8" xfId="3" applyNumberFormat="1" applyBorder="1">
      <alignment horizontal="right" vertical="center"/>
    </xf>
    <xf numFmtId="164" fontId="2" fillId="3" borderId="7" xfId="2" applyNumberFormat="1" applyBorder="1">
      <alignment horizontal="right" vertical="center"/>
    </xf>
    <xf numFmtId="164" fontId="4" fillId="4" borderId="9" xfId="4"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0" fontId="12" fillId="0" borderId="6" xfId="0" applyFont="1" applyBorder="1" applyAlignment="1">
      <alignment horizontal="left" vertical="center" indent="1"/>
    </xf>
    <xf numFmtId="165" fontId="21" fillId="5" borderId="7" xfId="5" applyNumberFormat="1" applyFont="1" applyBorder="1">
      <alignment horizontal="right" vertical="center"/>
    </xf>
    <xf numFmtId="166" fontId="1" fillId="5" borderId="7" xfId="5" applyNumberFormat="1" applyBorder="1">
      <alignment horizontal="right" vertical="center"/>
    </xf>
    <xf numFmtId="165" fontId="1" fillId="5" borderId="7" xfId="5" applyNumberFormat="1" applyBorder="1">
      <alignment horizontal="right" vertical="center"/>
    </xf>
    <xf numFmtId="167" fontId="1" fillId="5" borderId="1" xfId="5" applyNumberFormat="1">
      <alignment horizontal="right" vertical="center"/>
    </xf>
    <xf numFmtId="0" fontId="17" fillId="7" borderId="4" xfId="0" applyFont="1" applyFill="1" applyBorder="1" applyAlignment="1">
      <alignment horizontal="center" vertical="center" wrapText="1"/>
    </xf>
    <xf numFmtId="168"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5" fontId="1" fillId="5" borderId="1" xfId="5" applyNumberFormat="1">
      <alignment horizontal="right" vertical="center"/>
    </xf>
    <xf numFmtId="0" fontId="22" fillId="0" borderId="0" xfId="0" applyFont="1" applyAlignment="1">
      <alignment horizontal="left" vertical="center" indent="1"/>
    </xf>
    <xf numFmtId="16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8">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c:v>
          </c:tx>
          <c:spPr>
            <a:ln w="25400">
              <a:solidFill>
                <a:srgbClr val="0E4F92"/>
              </a:solidFill>
              <a:prstDash val="solid"/>
            </a:ln>
          </c:spPr>
          <c:marker>
            <c:symbol val="none"/>
          </c:marker>
          <c:xVal>
            <c:numRef>
              <c:f>Results!$D$55:$D$104</c:f>
              <c:numCache>
                <c:formatCode>#,##0.00</c:formatCode>
                <c:ptCount val="50"/>
                <c:pt idx="0">
                  <c:v>818.40374597212497</c:v>
                </c:pt>
                <c:pt idx="1">
                  <c:v>1016.3571729798946</c:v>
                </c:pt>
                <c:pt idx="2">
                  <c:v>1141.5045477515328</c:v>
                </c:pt>
                <c:pt idx="3">
                  <c:v>1269.4312109933126</c:v>
                </c:pt>
                <c:pt idx="4">
                  <c:v>1371.8103786965339</c:v>
                </c:pt>
                <c:pt idx="5">
                  <c:v>1478.85426060297</c:v>
                </c:pt>
                <c:pt idx="6">
                  <c:v>1576.6489102267321</c:v>
                </c:pt>
                <c:pt idx="7">
                  <c:v>1675.6952804737848</c:v>
                </c:pt>
                <c:pt idx="8">
                  <c:v>1774.9492894932901</c:v>
                </c:pt>
                <c:pt idx="9">
                  <c:v>1873.2200604650334</c:v>
                </c:pt>
                <c:pt idx="10">
                  <c:v>1966.5108517742874</c:v>
                </c:pt>
                <c:pt idx="11">
                  <c:v>2071.0670298483487</c:v>
                </c:pt>
                <c:pt idx="12">
                  <c:v>2169.6852919787534</c:v>
                </c:pt>
                <c:pt idx="13">
                  <c:v>2259.735376976651</c:v>
                </c:pt>
                <c:pt idx="14">
                  <c:v>2355.6055188226624</c:v>
                </c:pt>
                <c:pt idx="15">
                  <c:v>2445.28703958292</c:v>
                </c:pt>
                <c:pt idx="16">
                  <c:v>2522.2608502776006</c:v>
                </c:pt>
                <c:pt idx="17">
                  <c:v>2606.7972536054504</c:v>
                </c:pt>
                <c:pt idx="18">
                  <c:v>2696.2707645370283</c:v>
                </c:pt>
                <c:pt idx="19">
                  <c:v>2793.8798289351453</c:v>
                </c:pt>
                <c:pt idx="20">
                  <c:v>2877.013929370697</c:v>
                </c:pt>
                <c:pt idx="21">
                  <c:v>2969.3933671294535</c:v>
                </c:pt>
                <c:pt idx="22">
                  <c:v>3051.5778820810619</c:v>
                </c:pt>
                <c:pt idx="23">
                  <c:v>3144.7130541480578</c:v>
                </c:pt>
                <c:pt idx="24">
                  <c:v>3222.4035580845148</c:v>
                </c:pt>
                <c:pt idx="25">
                  <c:v>3313.2301939663867</c:v>
                </c:pt>
                <c:pt idx="26">
                  <c:v>3422.9537412680452</c:v>
                </c:pt>
                <c:pt idx="27">
                  <c:v>3515.769969491349</c:v>
                </c:pt>
                <c:pt idx="28">
                  <c:v>3622.5691742988847</c:v>
                </c:pt>
                <c:pt idx="29">
                  <c:v>3715.5503189645951</c:v>
                </c:pt>
                <c:pt idx="30">
                  <c:v>3814.4615938290749</c:v>
                </c:pt>
                <c:pt idx="31">
                  <c:v>3918.1474924829868</c:v>
                </c:pt>
                <c:pt idx="32">
                  <c:v>4019.719437539748</c:v>
                </c:pt>
                <c:pt idx="33">
                  <c:v>4133.2225519411977</c:v>
                </c:pt>
                <c:pt idx="34">
                  <c:v>4246.8945702859119</c:v>
                </c:pt>
                <c:pt idx="35">
                  <c:v>4376.4614261123461</c:v>
                </c:pt>
                <c:pt idx="36">
                  <c:v>4500.4098303366845</c:v>
                </c:pt>
                <c:pt idx="37">
                  <c:v>4625.7996099493885</c:v>
                </c:pt>
                <c:pt idx="38">
                  <c:v>4765.8934636423655</c:v>
                </c:pt>
                <c:pt idx="39">
                  <c:v>4908.475906631822</c:v>
                </c:pt>
                <c:pt idx="40">
                  <c:v>5072.4983793371739</c:v>
                </c:pt>
                <c:pt idx="41">
                  <c:v>5261.5344972367275</c:v>
                </c:pt>
                <c:pt idx="42">
                  <c:v>5458.8081626525764</c:v>
                </c:pt>
                <c:pt idx="43">
                  <c:v>5687.4727357620368</c:v>
                </c:pt>
                <c:pt idx="44">
                  <c:v>5906.8235558796823</c:v>
                </c:pt>
                <c:pt idx="45">
                  <c:v>6190.6396566035328</c:v>
                </c:pt>
                <c:pt idx="46">
                  <c:v>6535.7973781196879</c:v>
                </c:pt>
                <c:pt idx="47">
                  <c:v>6996.2977005052844</c:v>
                </c:pt>
                <c:pt idx="48">
                  <c:v>7620.6520516230339</c:v>
                </c:pt>
                <c:pt idx="49">
                  <c:v>8863.066801040206</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B939-44C0-AAF0-B16DFAAD1E0E}"/>
            </c:ext>
          </c:extLst>
        </c:ser>
        <c:ser>
          <c:idx val="1"/>
          <c:order val="1"/>
          <c:tx>
            <c:v>US sales</c:v>
          </c:tx>
          <c:spPr>
            <a:ln w="25400">
              <a:solidFill>
                <a:srgbClr val="B45309"/>
              </a:solidFill>
              <a:prstDash val="dash"/>
            </a:ln>
          </c:spPr>
          <c:marker>
            <c:symbol val="none"/>
          </c:marker>
          <c:xVal>
            <c:numRef>
              <c:f>Results!$E$55:$E$104</c:f>
              <c:numCache>
                <c:formatCode>#,##0.00</c:formatCode>
                <c:ptCount val="50"/>
                <c:pt idx="0">
                  <c:v>0</c:v>
                </c:pt>
                <c:pt idx="1">
                  <c:v>0</c:v>
                </c:pt>
                <c:pt idx="2">
                  <c:v>0</c:v>
                </c:pt>
                <c:pt idx="3">
                  <c:v>0</c:v>
                </c:pt>
                <c:pt idx="4">
                  <c:v>0</c:v>
                </c:pt>
                <c:pt idx="5">
                  <c:v>307.61394826966824</c:v>
                </c:pt>
                <c:pt idx="6">
                  <c:v>388.17339863622601</c:v>
                </c:pt>
                <c:pt idx="7">
                  <c:v>476.31045789019987</c:v>
                </c:pt>
                <c:pt idx="8">
                  <c:v>565.11107026243667</c:v>
                </c:pt>
                <c:pt idx="9">
                  <c:v>652.41239960133885</c:v>
                </c:pt>
                <c:pt idx="10">
                  <c:v>741.32798539936221</c:v>
                </c:pt>
                <c:pt idx="11">
                  <c:v>827.3519497685561</c:v>
                </c:pt>
                <c:pt idx="12">
                  <c:v>923.33854630286464</c:v>
                </c:pt>
                <c:pt idx="13">
                  <c:v>1012.114537493537</c:v>
                </c:pt>
                <c:pt idx="14">
                  <c:v>1100.7161261030662</c:v>
                </c:pt>
                <c:pt idx="15">
                  <c:v>1189.3391847001233</c:v>
                </c:pt>
                <c:pt idx="16">
                  <c:v>1259.1474386372697</c:v>
                </c:pt>
                <c:pt idx="17">
                  <c:v>1340.2472050729125</c:v>
                </c:pt>
                <c:pt idx="18">
                  <c:v>1427.0052097049579</c:v>
                </c:pt>
                <c:pt idx="19">
                  <c:v>1505.3625914532249</c:v>
                </c:pt>
                <c:pt idx="20">
                  <c:v>1581.8088079236418</c:v>
                </c:pt>
                <c:pt idx="21">
                  <c:v>1661.1776101010605</c:v>
                </c:pt>
                <c:pt idx="22">
                  <c:v>1744.670356986916</c:v>
                </c:pt>
                <c:pt idx="23">
                  <c:v>1826.4279466673968</c:v>
                </c:pt>
                <c:pt idx="24">
                  <c:v>1902.2933328846566</c:v>
                </c:pt>
                <c:pt idx="25">
                  <c:v>1991.51005897914</c:v>
                </c:pt>
                <c:pt idx="26">
                  <c:v>2079.8163777680033</c:v>
                </c:pt>
                <c:pt idx="27">
                  <c:v>2167.2715806655183</c:v>
                </c:pt>
                <c:pt idx="28">
                  <c:v>2264.6078958651651</c:v>
                </c:pt>
                <c:pt idx="29">
                  <c:v>2358.432450231644</c:v>
                </c:pt>
                <c:pt idx="30">
                  <c:v>2443.246426837647</c:v>
                </c:pt>
                <c:pt idx="31">
                  <c:v>2551.0473800184695</c:v>
                </c:pt>
                <c:pt idx="32">
                  <c:v>2641.4416130455211</c:v>
                </c:pt>
                <c:pt idx="33">
                  <c:v>2741.7673405756245</c:v>
                </c:pt>
                <c:pt idx="34">
                  <c:v>2847.4890705919802</c:v>
                </c:pt>
                <c:pt idx="35">
                  <c:v>2961.3536294218802</c:v>
                </c:pt>
                <c:pt idx="36">
                  <c:v>3085.4552061141562</c:v>
                </c:pt>
                <c:pt idx="37">
                  <c:v>3200.8584815099593</c:v>
                </c:pt>
                <c:pt idx="38">
                  <c:v>3334.1328772785314</c:v>
                </c:pt>
                <c:pt idx="39">
                  <c:v>3472.6059972082985</c:v>
                </c:pt>
                <c:pt idx="40">
                  <c:v>3628.4000311664672</c:v>
                </c:pt>
                <c:pt idx="41">
                  <c:v>3789.18177931835</c:v>
                </c:pt>
                <c:pt idx="42">
                  <c:v>3963.3888670175102</c:v>
                </c:pt>
                <c:pt idx="43">
                  <c:v>4159.5543308044262</c:v>
                </c:pt>
                <c:pt idx="44">
                  <c:v>4359.7368786479392</c:v>
                </c:pt>
                <c:pt idx="45">
                  <c:v>4635.4531832749071</c:v>
                </c:pt>
                <c:pt idx="46">
                  <c:v>4945.2008671367521</c:v>
                </c:pt>
                <c:pt idx="47">
                  <c:v>5400.3869310054233</c:v>
                </c:pt>
                <c:pt idx="48">
                  <c:v>5947.7587135758913</c:v>
                </c:pt>
                <c:pt idx="49">
                  <c:v>7143.0234342138292</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B939-44C0-AAF0-B16DFAAD1E0E}"/>
            </c:ext>
          </c:extLst>
        </c:ser>
        <c:ser>
          <c:idx val="2"/>
          <c:order val="2"/>
          <c:tx>
            <c:v>Local broadcasts</c:v>
          </c:tx>
          <c:spPr>
            <a:ln w="25400">
              <a:solidFill>
                <a:srgbClr val="15803D"/>
              </a:solidFill>
              <a:prstDash val="solid"/>
            </a:ln>
          </c:spPr>
          <c:marker>
            <c:symbol val="none"/>
          </c:marker>
          <c:xVal>
            <c:numRef>
              <c:f>Results!$F$55:$F$104</c:f>
              <c:numCache>
                <c:formatCode>#,##0.00</c:formatCode>
                <c:ptCount val="50"/>
                <c:pt idx="0">
                  <c:v>388.49257318103321</c:v>
                </c:pt>
                <c:pt idx="1">
                  <c:v>498.69057815604333</c:v>
                </c:pt>
                <c:pt idx="2">
                  <c:v>563.58457631869658</c:v>
                </c:pt>
                <c:pt idx="3">
                  <c:v>603.72306937969211</c:v>
                </c:pt>
                <c:pt idx="4">
                  <c:v>642.43261361442387</c:v>
                </c:pt>
                <c:pt idx="5">
                  <c:v>674.76483771069854</c:v>
                </c:pt>
                <c:pt idx="6">
                  <c:v>698.71125466160538</c:v>
                </c:pt>
                <c:pt idx="7">
                  <c:v>723.65104304083525</c:v>
                </c:pt>
                <c:pt idx="8">
                  <c:v>745.77184546722469</c:v>
                </c:pt>
                <c:pt idx="9">
                  <c:v>765.89500844852989</c:v>
                </c:pt>
                <c:pt idx="10">
                  <c:v>786.11119641668472</c:v>
                </c:pt>
                <c:pt idx="11">
                  <c:v>806.68633164995776</c:v>
                </c:pt>
                <c:pt idx="12">
                  <c:v>825.19943670662497</c:v>
                </c:pt>
                <c:pt idx="13">
                  <c:v>844.28531903628596</c:v>
                </c:pt>
                <c:pt idx="14">
                  <c:v>860.41485568985627</c:v>
                </c:pt>
                <c:pt idx="15">
                  <c:v>878.05393903114532</c:v>
                </c:pt>
                <c:pt idx="16">
                  <c:v>894.14769596264944</c:v>
                </c:pt>
                <c:pt idx="17">
                  <c:v>910.33752262596681</c:v>
                </c:pt>
                <c:pt idx="18">
                  <c:v>927.81674956448069</c:v>
                </c:pt>
                <c:pt idx="19">
                  <c:v>942.1612653541174</c:v>
                </c:pt>
                <c:pt idx="20">
                  <c:v>956.99515291491491</c:v>
                </c:pt>
                <c:pt idx="21">
                  <c:v>974.70286148917467</c:v>
                </c:pt>
                <c:pt idx="22">
                  <c:v>990.21123437417998</c:v>
                </c:pt>
                <c:pt idx="23">
                  <c:v>1007.6345726050208</c:v>
                </c:pt>
                <c:pt idx="24">
                  <c:v>1024.5575361784652</c:v>
                </c:pt>
                <c:pt idx="25">
                  <c:v>1041.4058472084666</c:v>
                </c:pt>
                <c:pt idx="26">
                  <c:v>1057.2629692460528</c:v>
                </c:pt>
                <c:pt idx="27">
                  <c:v>1072.7420062101314</c:v>
                </c:pt>
                <c:pt idx="28">
                  <c:v>1088.5907366837844</c:v>
                </c:pt>
                <c:pt idx="29">
                  <c:v>1107.4702015278078</c:v>
                </c:pt>
                <c:pt idx="30">
                  <c:v>1126.2267151474025</c:v>
                </c:pt>
                <c:pt idx="31">
                  <c:v>1143.6104369531456</c:v>
                </c:pt>
                <c:pt idx="32">
                  <c:v>1159.3793007683985</c:v>
                </c:pt>
                <c:pt idx="33">
                  <c:v>1178.7963023495995</c:v>
                </c:pt>
                <c:pt idx="34">
                  <c:v>1196.1343225102391</c:v>
                </c:pt>
                <c:pt idx="35">
                  <c:v>1213.9014616190821</c:v>
                </c:pt>
                <c:pt idx="36">
                  <c:v>1236.1520541029033</c:v>
                </c:pt>
                <c:pt idx="37">
                  <c:v>1257.45863896371</c:v>
                </c:pt>
                <c:pt idx="38">
                  <c:v>1280.743084879879</c:v>
                </c:pt>
                <c:pt idx="39">
                  <c:v>1306.8700042413582</c:v>
                </c:pt>
                <c:pt idx="40">
                  <c:v>1330.0415693894693</c:v>
                </c:pt>
                <c:pt idx="41">
                  <c:v>1356.328632788576</c:v>
                </c:pt>
                <c:pt idx="42">
                  <c:v>1385.0667154593289</c:v>
                </c:pt>
                <c:pt idx="43">
                  <c:v>1416.551767070127</c:v>
                </c:pt>
                <c:pt idx="44">
                  <c:v>1454.6055622434906</c:v>
                </c:pt>
                <c:pt idx="45">
                  <c:v>1492.2315901476479</c:v>
                </c:pt>
                <c:pt idx="46">
                  <c:v>1540.6070749400199</c:v>
                </c:pt>
                <c:pt idx="47">
                  <c:v>1602.5165093914868</c:v>
                </c:pt>
                <c:pt idx="48">
                  <c:v>1689.0104691539036</c:v>
                </c:pt>
                <c:pt idx="49">
                  <c:v>1886.8053376394412</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B939-44C0-AAF0-B16DFAAD1E0E}"/>
            </c:ext>
          </c:extLst>
        </c:ser>
        <c:ser>
          <c:idx val="3"/>
          <c:order val="3"/>
          <c:tx>
            <c:v>Pilots</c:v>
          </c:tx>
          <c:spPr>
            <a:ln w="25400">
              <a:solidFill>
                <a:srgbClr val="B91C1C"/>
              </a:solidFill>
              <a:prstDash val="solid"/>
            </a:ln>
          </c:spPr>
          <c:marker>
            <c:symbol val="none"/>
          </c:marker>
          <c:xVal>
            <c:numRef>
              <c:f>Results!$G$55:$G$104</c:f>
              <c:numCache>
                <c:formatCode>#,##0.00</c:formatCode>
                <c:ptCount val="50"/>
                <c:pt idx="0">
                  <c:v>227.70304742952908</c:v>
                </c:pt>
                <c:pt idx="1">
                  <c:v>237.87434175843771</c:v>
                </c:pt>
                <c:pt idx="2">
                  <c:v>243.78089417628397</c:v>
                </c:pt>
                <c:pt idx="3">
                  <c:v>247.69003851452504</c:v>
                </c:pt>
                <c:pt idx="4">
                  <c:v>250.97331044618559</c:v>
                </c:pt>
                <c:pt idx="5">
                  <c:v>253.78893453202207</c:v>
                </c:pt>
                <c:pt idx="6">
                  <c:v>256.78019003963414</c:v>
                </c:pt>
                <c:pt idx="7">
                  <c:v>259.41090331595308</c:v>
                </c:pt>
                <c:pt idx="8">
                  <c:v>261.54320884435219</c:v>
                </c:pt>
                <c:pt idx="9">
                  <c:v>263.52321743731994</c:v>
                </c:pt>
                <c:pt idx="10">
                  <c:v>265.30735256541817</c:v>
                </c:pt>
                <c:pt idx="11">
                  <c:v>267.15642580558301</c:v>
                </c:pt>
                <c:pt idx="12">
                  <c:v>268.93600420030572</c:v>
                </c:pt>
                <c:pt idx="13">
                  <c:v>270.64353261083158</c:v>
                </c:pt>
                <c:pt idx="14">
                  <c:v>272.34792688932373</c:v>
                </c:pt>
                <c:pt idx="15">
                  <c:v>274.00045441939989</c:v>
                </c:pt>
                <c:pt idx="16">
                  <c:v>275.46126702153055</c:v>
                </c:pt>
                <c:pt idx="17">
                  <c:v>276.89843557588625</c:v>
                </c:pt>
                <c:pt idx="18">
                  <c:v>278.29698376623861</c:v>
                </c:pt>
                <c:pt idx="19">
                  <c:v>279.62880469516494</c:v>
                </c:pt>
                <c:pt idx="20">
                  <c:v>281.39598874721258</c:v>
                </c:pt>
                <c:pt idx="21">
                  <c:v>283.10825896778294</c:v>
                </c:pt>
                <c:pt idx="22">
                  <c:v>284.83714696822483</c:v>
                </c:pt>
                <c:pt idx="23">
                  <c:v>286.07406667572064</c:v>
                </c:pt>
                <c:pt idx="24">
                  <c:v>287.50743803004548</c:v>
                </c:pt>
                <c:pt idx="25">
                  <c:v>289.18293923157938</c:v>
                </c:pt>
                <c:pt idx="26">
                  <c:v>290.62957585524254</c:v>
                </c:pt>
                <c:pt idx="27">
                  <c:v>292.05322085835394</c:v>
                </c:pt>
                <c:pt idx="28">
                  <c:v>293.52132552472358</c:v>
                </c:pt>
                <c:pt idx="29">
                  <c:v>295.07935749369199</c:v>
                </c:pt>
                <c:pt idx="30">
                  <c:v>296.65214802186136</c:v>
                </c:pt>
                <c:pt idx="31">
                  <c:v>298.33892213968971</c:v>
                </c:pt>
                <c:pt idx="32">
                  <c:v>299.96850556161667</c:v>
                </c:pt>
                <c:pt idx="33">
                  <c:v>301.50028113199488</c:v>
                </c:pt>
                <c:pt idx="34">
                  <c:v>303.14045216952258</c:v>
                </c:pt>
                <c:pt idx="35">
                  <c:v>304.76660801840461</c:v>
                </c:pt>
                <c:pt idx="36">
                  <c:v>306.59902383469199</c:v>
                </c:pt>
                <c:pt idx="37">
                  <c:v>308.42738848412745</c:v>
                </c:pt>
                <c:pt idx="38">
                  <c:v>310.27917510704611</c:v>
                </c:pt>
                <c:pt idx="39">
                  <c:v>312.46664379250092</c:v>
                </c:pt>
                <c:pt idx="40">
                  <c:v>314.78093337751648</c:v>
                </c:pt>
                <c:pt idx="41">
                  <c:v>316.96011819797701</c:v>
                </c:pt>
                <c:pt idx="42">
                  <c:v>319.52418841194606</c:v>
                </c:pt>
                <c:pt idx="43">
                  <c:v>322.19874338119206</c:v>
                </c:pt>
                <c:pt idx="44">
                  <c:v>325.37103684965655</c:v>
                </c:pt>
                <c:pt idx="45">
                  <c:v>328.82635614100303</c:v>
                </c:pt>
                <c:pt idx="46">
                  <c:v>332.5363627573131</c:v>
                </c:pt>
                <c:pt idx="47">
                  <c:v>337.1621701235452</c:v>
                </c:pt>
                <c:pt idx="48">
                  <c:v>343.56593873057528</c:v>
                </c:pt>
                <c:pt idx="49">
                  <c:v>356.38092364122764</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B939-44C0-AAF0-B16DFAAD1E0E}"/>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US"/>
                  <a:t>Profit (US$k)</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Results!$B$108:$B$111</c:f>
              <c:strCache>
                <c:ptCount val="4"/>
                <c:pt idx="0">
                  <c:v>Profit from US sales</c:v>
                </c:pt>
                <c:pt idx="1">
                  <c:v>Profit from local broadcasts</c:v>
                </c:pt>
                <c:pt idx="2">
                  <c:v>Number of new pilots</c:v>
                </c:pt>
                <c:pt idx="3">
                  <c:v>Profit from pilots</c:v>
                </c:pt>
              </c:strCache>
            </c:strRef>
          </c:cat>
          <c:val>
            <c:numRef>
              <c:f>Results!$F$108:$F$111</c:f>
              <c:numCache>
                <c:formatCode>#,##0_);\(#,##0\);"–"_)</c:formatCode>
                <c:ptCount val="4"/>
                <c:pt idx="0">
                  <c:v>3742.9727931522066</c:v>
                </c:pt>
                <c:pt idx="1">
                  <c:v>1796.2173135510238</c:v>
                </c:pt>
                <c:pt idx="2">
                  <c:v>403.12475239271407</c:v>
                </c:pt>
                <c:pt idx="3">
                  <c:v>339.08471859906331</c:v>
                </c:pt>
              </c:numCache>
            </c:numRef>
          </c:val>
          <c:extLst>
            <c:ext xmlns:c16="http://schemas.microsoft.com/office/drawing/2014/chart" uri="{C3380CC4-5D6E-409C-BE32-E72D297353CC}">
              <c16:uniqueId val="{00000000-D556-4FC1-83BC-318FD2498CC5}"/>
            </c:ext>
          </c:extLst>
        </c:ser>
        <c:ser>
          <c:idx val="1"/>
          <c:order val="1"/>
          <c:tx>
            <c:v>Lowest group mean</c:v>
          </c:tx>
          <c:spPr>
            <a:solidFill>
              <a:srgbClr val="B91C1C"/>
            </a:solidFill>
            <a:ln>
              <a:noFill/>
              <a:prstDash val="solid"/>
            </a:ln>
          </c:spPr>
          <c:invertIfNegative val="0"/>
          <c:cat>
            <c:strRef>
              <c:f>Results!$B$108:$B$111</c:f>
              <c:strCache>
                <c:ptCount val="4"/>
                <c:pt idx="0">
                  <c:v>Profit from US sales</c:v>
                </c:pt>
                <c:pt idx="1">
                  <c:v>Profit from local broadcasts</c:v>
                </c:pt>
                <c:pt idx="2">
                  <c:v>Number of new pilots</c:v>
                </c:pt>
                <c:pt idx="3">
                  <c:v>Profit from pilots</c:v>
                </c:pt>
              </c:strCache>
            </c:strRef>
          </c:cat>
          <c:val>
            <c:numRef>
              <c:f>Results!$G$108:$G$111</c:f>
              <c:numCache>
                <c:formatCode>#,##0_);\(#,##0\);"–"_)</c:formatCode>
                <c:ptCount val="4"/>
                <c:pt idx="0">
                  <c:v>-2362.7242673579331</c:v>
                </c:pt>
                <c:pt idx="1">
                  <c:v>-1593.026738672339</c:v>
                </c:pt>
                <c:pt idx="2">
                  <c:v>-347.95656860851568</c:v>
                </c:pt>
                <c:pt idx="3">
                  <c:v>-257.78335401717641</c:v>
                </c:pt>
              </c:numCache>
            </c:numRef>
          </c:val>
          <c:extLst>
            <c:ext xmlns:c16="http://schemas.microsoft.com/office/drawing/2014/chart" uri="{C3380CC4-5D6E-409C-BE32-E72D297353CC}">
              <c16:uniqueId val="{00000001-D556-4FC1-83BC-318FD2498CC5}"/>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31</xdr:row>
      <xdr:rowOff>0</xdr:rowOff>
    </xdr:from>
    <xdr:ext cx="6263999" cy="21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44" customHeight="1" x14ac:dyDescent="0.45">
      <c r="B16" s="63" t="s">
        <v>20</v>
      </c>
      <c r="C16" s="62"/>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x14ac:dyDescent="0.45">
      <c r="B56" s="9" t="s">
        <v>64</v>
      </c>
      <c r="C56" s="10" t="s">
        <v>65</v>
      </c>
    </row>
    <row r="57" spans="2:3" x14ac:dyDescent="0.45">
      <c r="B57" s="9" t="s">
        <v>66</v>
      </c>
      <c r="C57" s="10" t="s">
        <v>67</v>
      </c>
    </row>
    <row r="58" spans="2:3" x14ac:dyDescent="0.45">
      <c r="B58" s="9" t="s">
        <v>68</v>
      </c>
      <c r="C58" s="10" t="s">
        <v>69</v>
      </c>
    </row>
    <row r="59" spans="2:3" ht="12" customHeight="1" x14ac:dyDescent="0.45"/>
    <row r="60" spans="2:3" ht="22.05" customHeight="1" x14ac:dyDescent="0.5">
      <c r="B60" s="7" t="s">
        <v>70</v>
      </c>
      <c r="C60" s="8"/>
    </row>
    <row r="61" spans="2:3" x14ac:dyDescent="0.45">
      <c r="B61" s="20" t="s">
        <v>71</v>
      </c>
      <c r="C61" s="10" t="s">
        <v>72</v>
      </c>
    </row>
    <row r="62" spans="2:3" ht="26.25" x14ac:dyDescent="0.45">
      <c r="B62" s="20" t="s">
        <v>73</v>
      </c>
      <c r="C62" s="10" t="s">
        <v>74</v>
      </c>
    </row>
    <row r="63" spans="2:3" ht="26.25" x14ac:dyDescent="0.45">
      <c r="B63" s="20" t="s">
        <v>75</v>
      </c>
      <c r="C63" s="10" t="s">
        <v>76</v>
      </c>
    </row>
    <row r="64" spans="2:3"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ht="16.05" customHeight="1" x14ac:dyDescent="0.45"/>
    <row r="72" spans="2:3" x14ac:dyDescent="0.45">
      <c r="B72" s="61" t="s">
        <v>88</v>
      </c>
      <c r="C72" s="62"/>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Slate'!A1" display="Slate"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89</v>
      </c>
      <c r="C3" s="1"/>
      <c r="D3" s="1"/>
      <c r="E3" s="1"/>
      <c r="F3" s="1"/>
      <c r="G3" s="1"/>
      <c r="H3" s="1"/>
      <c r="I3" s="1"/>
      <c r="J3" s="1"/>
    </row>
    <row r="4" spans="1:10" ht="20" customHeight="1" x14ac:dyDescent="0.45">
      <c r="A4" s="5"/>
      <c r="B4" s="22" t="s">
        <v>90</v>
      </c>
      <c r="C4" s="5"/>
      <c r="D4" s="5"/>
      <c r="E4" s="5"/>
      <c r="F4" s="5"/>
      <c r="G4" s="5"/>
      <c r="H4" s="5"/>
      <c r="I4" s="5"/>
      <c r="J4" s="6" t="s">
        <v>91</v>
      </c>
    </row>
    <row r="5" spans="1:10" ht="8" customHeight="1" x14ac:dyDescent="0.45"/>
    <row r="6" spans="1:10" ht="30" customHeight="1" x14ac:dyDescent="0.45">
      <c r="B6" s="64" t="s">
        <v>92</v>
      </c>
      <c r="C6" s="62"/>
      <c r="D6" s="62"/>
      <c r="E6" s="62"/>
      <c r="F6" s="62"/>
      <c r="G6" s="62"/>
      <c r="H6" s="62"/>
      <c r="I6" s="62"/>
      <c r="J6" s="62"/>
    </row>
    <row r="7" spans="1:10" ht="6" customHeight="1" x14ac:dyDescent="0.45"/>
    <row r="8" spans="1:10" ht="22.05" customHeight="1" x14ac:dyDescent="0.5">
      <c r="B8" s="7" t="s">
        <v>93</v>
      </c>
      <c r="C8" s="8"/>
      <c r="D8" s="8"/>
      <c r="E8" s="8"/>
      <c r="F8" s="8"/>
      <c r="G8" s="8"/>
      <c r="H8" s="8"/>
      <c r="I8" s="8"/>
      <c r="J8" s="8"/>
    </row>
    <row r="9" spans="1:10" ht="18" customHeight="1" x14ac:dyDescent="0.45">
      <c r="B9" s="13" t="s">
        <v>94</v>
      </c>
    </row>
    <row r="10" spans="1:10" ht="18" customHeight="1" x14ac:dyDescent="0.45">
      <c r="B10" s="23" t="s">
        <v>95</v>
      </c>
      <c r="C10" s="23" t="s">
        <v>96</v>
      </c>
      <c r="D10" s="24" t="s">
        <v>97</v>
      </c>
      <c r="E10" s="23" t="s">
        <v>98</v>
      </c>
      <c r="F10" s="24" t="s">
        <v>99</v>
      </c>
      <c r="G10" s="24" t="s">
        <v>100</v>
      </c>
      <c r="H10" s="24" t="s">
        <v>101</v>
      </c>
      <c r="I10" s="24" t="s">
        <v>102</v>
      </c>
      <c r="J10" s="23" t="s">
        <v>103</v>
      </c>
    </row>
    <row r="11" spans="1:10" x14ac:dyDescent="0.45">
      <c r="B11" s="25" t="s">
        <v>104</v>
      </c>
      <c r="C11" s="26" t="s">
        <v>105</v>
      </c>
      <c r="D11" s="27" cm="1">
        <f t="array" aca="1" ref="D11" ca="1">_xll.VoseInput("Number of new pilots","pilots")+ROUND(_xll.VosePERT(F11-0.5,G11,H11+0.5),0)</f>
        <v>30</v>
      </c>
      <c r="E11" s="26" t="s">
        <v>106</v>
      </c>
      <c r="F11" s="28">
        <v>28</v>
      </c>
      <c r="G11" s="28">
        <v>32</v>
      </c>
      <c r="H11" s="28">
        <v>39</v>
      </c>
      <c r="I11" s="29"/>
      <c r="J11" s="30" t="s">
        <v>107</v>
      </c>
    </row>
    <row r="12" spans="1:10" x14ac:dyDescent="0.45">
      <c r="B12" s="25" t="s">
        <v>108</v>
      </c>
      <c r="C12" s="26" t="s">
        <v>109</v>
      </c>
      <c r="D12" s="31" t="s">
        <v>110</v>
      </c>
      <c r="E12" s="26" t="s">
        <v>111</v>
      </c>
      <c r="F12" s="32">
        <v>120</v>
      </c>
      <c r="G12" s="32">
        <v>150</v>
      </c>
      <c r="H12" s="32">
        <v>250</v>
      </c>
      <c r="I12" s="33" cm="1">
        <f t="array" ref="I12">IF(AND(F12&lt;=G12,G12&lt;=H12,F12&lt;H12),_xll.VoseMean(_xll.VosePERTObject(F12,G12,H12)),"✗ range")</f>
        <v>161.66666666666666</v>
      </c>
      <c r="J12" s="30" t="s">
        <v>112</v>
      </c>
    </row>
    <row r="13" spans="1:10" x14ac:dyDescent="0.45">
      <c r="B13" s="25" t="s">
        <v>113</v>
      </c>
      <c r="C13" s="26" t="s">
        <v>114</v>
      </c>
      <c r="D13" s="31" t="s">
        <v>110</v>
      </c>
      <c r="E13" s="26" t="s">
        <v>111</v>
      </c>
      <c r="F13" s="34">
        <v>0.01</v>
      </c>
      <c r="G13" s="34">
        <v>0.05</v>
      </c>
      <c r="H13" s="34">
        <v>0.12</v>
      </c>
      <c r="I13" s="35" cm="1">
        <f t="array" ref="I13">IF(AND(F13&lt;=G13,G13&lt;=H13,F13&lt;H13,F13&gt;=0,H13&lt;=1),_xll.VoseMean(_xll.VosePERTObject(F13,G13,H13)),"✗ range")</f>
        <v>5.5E-2</v>
      </c>
      <c r="J13" s="30" t="s">
        <v>115</v>
      </c>
    </row>
    <row r="14" spans="1:10" ht="8" customHeight="1" x14ac:dyDescent="0.45"/>
    <row r="15" spans="1:10" ht="22.05" customHeight="1" x14ac:dyDescent="0.5">
      <c r="B15" s="7" t="s">
        <v>116</v>
      </c>
      <c r="C15" s="8"/>
      <c r="D15" s="8"/>
      <c r="E15" s="8"/>
      <c r="F15" s="8"/>
      <c r="G15" s="8"/>
      <c r="H15" s="8"/>
      <c r="I15" s="8"/>
      <c r="J15" s="8"/>
    </row>
    <row r="16" spans="1:10" ht="18" customHeight="1" x14ac:dyDescent="0.45">
      <c r="B16" s="13" t="s">
        <v>117</v>
      </c>
    </row>
    <row r="17" spans="2:10" ht="18" customHeight="1" x14ac:dyDescent="0.45">
      <c r="B17" s="23" t="s">
        <v>95</v>
      </c>
      <c r="C17" s="23" t="s">
        <v>96</v>
      </c>
      <c r="D17" s="24" t="s">
        <v>97</v>
      </c>
      <c r="E17" s="23" t="s">
        <v>98</v>
      </c>
      <c r="F17" s="24" t="s">
        <v>99</v>
      </c>
      <c r="G17" s="24" t="s">
        <v>100</v>
      </c>
      <c r="H17" s="24" t="s">
        <v>101</v>
      </c>
      <c r="I17" s="24" t="s">
        <v>102</v>
      </c>
      <c r="J17" s="23" t="s">
        <v>103</v>
      </c>
    </row>
    <row r="18" spans="2:10" x14ac:dyDescent="0.45">
      <c r="B18" s="25" t="s">
        <v>118</v>
      </c>
      <c r="C18" s="26" t="s">
        <v>119</v>
      </c>
      <c r="D18" s="34">
        <v>0.35</v>
      </c>
      <c r="E18" s="26" t="s">
        <v>120</v>
      </c>
      <c r="F18" s="29"/>
      <c r="G18" s="29"/>
      <c r="H18" s="29"/>
      <c r="I18" s="29"/>
      <c r="J18" s="30"/>
    </row>
    <row r="19" spans="2:10" x14ac:dyDescent="0.45">
      <c r="B19" s="25" t="s">
        <v>121</v>
      </c>
      <c r="C19" s="26" t="s">
        <v>109</v>
      </c>
      <c r="D19" s="31" t="s">
        <v>110</v>
      </c>
      <c r="E19" s="26" t="s">
        <v>111</v>
      </c>
      <c r="F19" s="32">
        <v>120</v>
      </c>
      <c r="G19" s="32">
        <v>150</v>
      </c>
      <c r="H19" s="32">
        <v>250</v>
      </c>
      <c r="I19" s="33" cm="1">
        <f t="array" ref="I19">IF(AND(F19&lt;=G19,G19&lt;=H19,F19&lt;H19),_xll.VoseMean(_xll.VosePERTObject(F19,G19,H19)),"✗ range")</f>
        <v>161.66666666666666</v>
      </c>
      <c r="J19" s="30" t="s">
        <v>122</v>
      </c>
    </row>
    <row r="20" spans="2:10" x14ac:dyDescent="0.45">
      <c r="B20" s="25" t="s">
        <v>123</v>
      </c>
      <c r="C20" s="26" t="s">
        <v>114</v>
      </c>
      <c r="D20" s="31" t="s">
        <v>110</v>
      </c>
      <c r="E20" s="26" t="s">
        <v>111</v>
      </c>
      <c r="F20" s="34">
        <v>0.15</v>
      </c>
      <c r="G20" s="34">
        <v>0.25</v>
      </c>
      <c r="H20" s="34">
        <v>0.45</v>
      </c>
      <c r="I20" s="35" cm="1">
        <f t="array" ref="I20">IF(AND(F20&lt;=G20,G20&lt;=H20,F20&lt;H20,F20&gt;=0,H20&lt;=1),_xll.VoseMean(_xll.VosePERTObject(F20,G20,H20)),"✗ range")</f>
        <v>0.26666666666666666</v>
      </c>
      <c r="J20" s="30"/>
    </row>
    <row r="21" spans="2:10" ht="8" customHeight="1" x14ac:dyDescent="0.45"/>
    <row r="22" spans="2:10" ht="22.05" customHeight="1" x14ac:dyDescent="0.5">
      <c r="B22" s="7" t="s">
        <v>124</v>
      </c>
      <c r="C22" s="8"/>
      <c r="D22" s="8"/>
      <c r="E22" s="8"/>
      <c r="F22" s="8"/>
      <c r="G22" s="8"/>
      <c r="H22" s="8"/>
      <c r="I22" s="8"/>
      <c r="J22" s="8"/>
    </row>
    <row r="23" spans="2:10" ht="18" customHeight="1" x14ac:dyDescent="0.45">
      <c r="B23" s="13" t="s">
        <v>125</v>
      </c>
    </row>
    <row r="24" spans="2:10" ht="18" customHeight="1" x14ac:dyDescent="0.45">
      <c r="B24" s="23" t="s">
        <v>95</v>
      </c>
      <c r="C24" s="23" t="s">
        <v>96</v>
      </c>
      <c r="D24" s="24" t="s">
        <v>97</v>
      </c>
      <c r="E24" s="23" t="s">
        <v>98</v>
      </c>
      <c r="F24" s="24" t="s">
        <v>99</v>
      </c>
      <c r="G24" s="24" t="s">
        <v>100</v>
      </c>
      <c r="H24" s="24" t="s">
        <v>101</v>
      </c>
      <c r="I24" s="24" t="s">
        <v>102</v>
      </c>
      <c r="J24" s="23" t="s">
        <v>103</v>
      </c>
    </row>
    <row r="25" spans="2:10" x14ac:dyDescent="0.45">
      <c r="B25" s="25" t="s">
        <v>126</v>
      </c>
      <c r="C25" s="26" t="s">
        <v>119</v>
      </c>
      <c r="D25" s="34">
        <v>0.2</v>
      </c>
      <c r="E25" s="26" t="s">
        <v>120</v>
      </c>
      <c r="F25" s="29"/>
      <c r="G25" s="29"/>
      <c r="H25" s="29"/>
      <c r="I25" s="29"/>
      <c r="J25" s="30"/>
    </row>
    <row r="26" spans="2:10" x14ac:dyDescent="0.45">
      <c r="B26" s="25" t="s">
        <v>127</v>
      </c>
      <c r="C26" s="26" t="s">
        <v>109</v>
      </c>
      <c r="D26" s="31" t="s">
        <v>110</v>
      </c>
      <c r="E26" s="26" t="s">
        <v>111</v>
      </c>
      <c r="F26" s="32">
        <v>240</v>
      </c>
      <c r="G26" s="32">
        <v>550</v>
      </c>
      <c r="H26" s="32">
        <v>1350</v>
      </c>
      <c r="I26" s="33" cm="1">
        <f t="array" ref="I26">IF(AND(F26&lt;=G26,G26&lt;=H26,F26&lt;H26),_xll.VoseMean(_xll.VosePERTObject(F26,G26,H26)),"✗ range")</f>
        <v>631.66666666666663</v>
      </c>
      <c r="J26" s="30" t="s">
        <v>122</v>
      </c>
    </row>
    <row r="27" spans="2:10" x14ac:dyDescent="0.45">
      <c r="B27" s="25" t="s">
        <v>128</v>
      </c>
      <c r="C27" s="26" t="s">
        <v>114</v>
      </c>
      <c r="D27" s="31" t="s">
        <v>110</v>
      </c>
      <c r="E27" s="26" t="s">
        <v>111</v>
      </c>
      <c r="F27" s="34">
        <v>0.65</v>
      </c>
      <c r="G27" s="34">
        <v>0.7</v>
      </c>
      <c r="H27" s="34">
        <v>0.85</v>
      </c>
      <c r="I27" s="35" cm="1">
        <f t="array" ref="I27">IF(AND(F27&lt;=G27,G27&lt;=H27,F27&lt;H27,F27&gt;=0,H27&lt;=1),_xll.VoseMean(_xll.VosePERTObject(F27,G27,H27)),"✗ range")</f>
        <v>0.71666666666666667</v>
      </c>
      <c r="J27" s="30"/>
    </row>
    <row r="28" spans="2:10" ht="8" customHeight="1" x14ac:dyDescent="0.45"/>
  </sheetData>
  <mergeCells count="1">
    <mergeCell ref="B6:J6"/>
  </mergeCells>
  <conditionalFormatting sqref="I12:I13">
    <cfRule type="expression" dxfId="7" priority="1">
      <formula>LEFT($I12,1)="✗"</formula>
    </cfRule>
  </conditionalFormatting>
  <conditionalFormatting sqref="I19:I20">
    <cfRule type="expression" dxfId="6" priority="3">
      <formula>LEFT($I19,1)="✗"</formula>
    </cfRule>
  </conditionalFormatting>
  <conditionalFormatting sqref="I26:I27">
    <cfRule type="expression" dxfId="5" priority="5">
      <formula>LEFT($I26,1)="✗"</formula>
    </cfRule>
  </conditionalFormatting>
  <dataValidations count="3">
    <dataValidation type="custom" showErrorMessage="1" errorTitle="PERT range" error="Low must be below High, with Most likely between them." sqref="F12:H12 F26:H26 F19:H19" xr:uid="{00000000-0002-0000-0100-000000000000}">
      <formula1>AND($F12&lt;=$G12,$G12&lt;=$H12,$F12&lt;$H12)</formula1>
    </dataValidation>
    <dataValidation type="custom" showErrorMessage="1" errorTitle="PERT range" error="Low must be below High, with Most likely between them, all between 0% and 100%." sqref="F13:H13 F27:H27 F20:H20" xr:uid="{00000000-0002-0000-0100-000001000000}">
      <formula1>AND($F13&lt;=$G13,$G13&lt;=$H13,$F13&lt;$H13,$F13&gt;=0,$H13&lt;=1)</formula1>
    </dataValidation>
    <dataValidation type="decimal" showErrorMessage="1" errorTitle="Probability" error="Enter a value between 0% and 100%." sqref="D18 D25" xr:uid="{00000000-0002-0000-0100-000002000000}">
      <formula1>0</formula1>
      <formula2>1</formula2>
    </dataValidation>
  </dataValidations>
  <hyperlinks>
    <hyperlink ref="B4" location="'About'!A1" display="◂  About" xr:uid="{00000000-0004-0000-0100-000000000000}"/>
    <hyperlink ref="J4" location="'Slate'!A1" display="Next:  Slate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F48"/>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50" customWidth="1"/>
    <col min="3" max="3" width="14" customWidth="1"/>
    <col min="4" max="4" width="30" customWidth="1"/>
    <col min="5" max="5" width="2" customWidth="1"/>
    <col min="6" max="6" width="74"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129</v>
      </c>
      <c r="C3" s="1"/>
      <c r="D3" s="1"/>
      <c r="E3" s="1"/>
      <c r="F3" s="1"/>
    </row>
    <row r="4" spans="1:6" ht="20" customHeight="1" x14ac:dyDescent="0.45">
      <c r="A4" s="5"/>
      <c r="B4" s="22" t="s">
        <v>130</v>
      </c>
      <c r="C4" s="5"/>
      <c r="D4" s="5"/>
      <c r="E4" s="5"/>
      <c r="F4" s="6" t="s">
        <v>131</v>
      </c>
    </row>
    <row r="5" spans="1:6" ht="8" customHeight="1" x14ac:dyDescent="0.45"/>
    <row r="6" spans="1:6" ht="22.05" customHeight="1" x14ac:dyDescent="0.5">
      <c r="B6" s="7" t="s">
        <v>132</v>
      </c>
      <c r="C6" s="8"/>
      <c r="D6" s="8"/>
      <c r="E6" s="8"/>
      <c r="F6" s="8"/>
    </row>
    <row r="7" spans="1:6" ht="18" customHeight="1" x14ac:dyDescent="0.45">
      <c r="B7" s="13" t="s">
        <v>133</v>
      </c>
    </row>
    <row r="8" spans="1:6" ht="18" customHeight="1" x14ac:dyDescent="0.45">
      <c r="B8" s="36" t="s">
        <v>134</v>
      </c>
      <c r="C8" s="37" t="s">
        <v>135</v>
      </c>
      <c r="D8" s="37" t="s">
        <v>136</v>
      </c>
      <c r="E8" s="5"/>
      <c r="F8" s="5"/>
    </row>
    <row r="9" spans="1:6" x14ac:dyDescent="0.45">
      <c r="B9" s="25" t="s">
        <v>137</v>
      </c>
      <c r="C9" s="38">
        <v>1</v>
      </c>
      <c r="D9" s="34">
        <v>0.4</v>
      </c>
      <c r="E9" s="29"/>
      <c r="F9" s="29"/>
    </row>
    <row r="10" spans="1:6" x14ac:dyDescent="0.45">
      <c r="B10" s="25" t="s">
        <v>138</v>
      </c>
      <c r="C10" s="38">
        <v>2</v>
      </c>
      <c r="D10" s="34">
        <v>0.25</v>
      </c>
      <c r="E10" s="29"/>
      <c r="F10" s="29"/>
    </row>
    <row r="11" spans="1:6" x14ac:dyDescent="0.45">
      <c r="B11" s="25" t="s">
        <v>139</v>
      </c>
      <c r="C11" s="38">
        <v>3</v>
      </c>
      <c r="D11" s="34">
        <v>0.2</v>
      </c>
      <c r="E11" s="29"/>
      <c r="F11" s="29"/>
    </row>
    <row r="12" spans="1:6" x14ac:dyDescent="0.45">
      <c r="B12" s="25" t="s">
        <v>140</v>
      </c>
      <c r="C12" s="38">
        <v>4</v>
      </c>
      <c r="D12" s="34">
        <v>0.1</v>
      </c>
      <c r="E12" s="29"/>
      <c r="F12" s="29"/>
    </row>
    <row r="13" spans="1:6" x14ac:dyDescent="0.45">
      <c r="B13" s="25" t="s">
        <v>141</v>
      </c>
      <c r="C13" s="38">
        <v>5</v>
      </c>
      <c r="D13" s="34">
        <v>0.05</v>
      </c>
      <c r="E13" s="29"/>
      <c r="F13" s="29"/>
    </row>
    <row r="14" spans="1:6" x14ac:dyDescent="0.45">
      <c r="B14" s="25" t="s">
        <v>142</v>
      </c>
      <c r="C14" s="26" t="s">
        <v>143</v>
      </c>
      <c r="D14" s="39" t="str" cm="1">
        <f t="array" ref="D14">_xll.VoseDiscreteObject(C9:C13,D9:D13)</f>
        <v>VoseDiscrete('[GU-05 Profits from expanding investments TV series.xlsx]Slate'!C9:C13,'[GU-05 Profits from expanding investments TV series.xlsx]Slate'!D9:D13)</v>
      </c>
      <c r="E14" s="29"/>
      <c r="F14" s="26" t="s">
        <v>144</v>
      </c>
    </row>
    <row r="15" spans="1:6" x14ac:dyDescent="0.45">
      <c r="B15" s="25" t="s">
        <v>145</v>
      </c>
      <c r="C15" s="26" t="s">
        <v>146</v>
      </c>
      <c r="D15" s="40" cm="1">
        <f t="array" ref="D15">_xll.VoseMean(SeasonsObj)</f>
        <v>2.15</v>
      </c>
      <c r="E15" s="29"/>
      <c r="F15" s="29"/>
    </row>
    <row r="16" spans="1:6" ht="8" customHeight="1" x14ac:dyDescent="0.45"/>
    <row r="17" spans="2:6" ht="22.05" customHeight="1" x14ac:dyDescent="0.5">
      <c r="B17" s="7" t="s">
        <v>147</v>
      </c>
      <c r="C17" s="8"/>
      <c r="D17" s="8"/>
      <c r="E17" s="8"/>
      <c r="F17" s="8"/>
    </row>
    <row r="18" spans="2:6" ht="18" customHeight="1" x14ac:dyDescent="0.45">
      <c r="B18" s="13" t="s">
        <v>148</v>
      </c>
    </row>
    <row r="19" spans="2:6" x14ac:dyDescent="0.45">
      <c r="B19" s="25" t="s">
        <v>149</v>
      </c>
      <c r="C19" s="26" t="s">
        <v>105</v>
      </c>
      <c r="D19" s="38">
        <f ca="1">Pilots</f>
        <v>30</v>
      </c>
      <c r="E19" s="29"/>
      <c r="F19" s="26" t="s">
        <v>150</v>
      </c>
    </row>
    <row r="20" spans="2:6" x14ac:dyDescent="0.45">
      <c r="B20" s="25" t="s">
        <v>151</v>
      </c>
      <c r="C20" s="26" t="s">
        <v>152</v>
      </c>
      <c r="D20" s="27" cm="1">
        <f t="array" aca="1" ref="D20" ca="1">_xll.VoseBinomial(PilotsMade,PSeries)</f>
        <v>11</v>
      </c>
      <c r="E20" s="29"/>
      <c r="F20" s="26" t="s">
        <v>153</v>
      </c>
    </row>
    <row r="21" spans="2:6" x14ac:dyDescent="0.45">
      <c r="B21" s="25" t="s">
        <v>154</v>
      </c>
      <c r="C21" s="26" t="s">
        <v>152</v>
      </c>
      <c r="D21" s="27" cm="1">
        <f t="array" aca="1" ref="D21" ca="1">_xll.VoseBinomial(Series,PUS)</f>
        <v>4</v>
      </c>
      <c r="E21" s="29"/>
      <c r="F21" s="26" t="s">
        <v>155</v>
      </c>
    </row>
    <row r="22" spans="2:6" x14ac:dyDescent="0.45">
      <c r="B22" s="25" t="s">
        <v>156</v>
      </c>
      <c r="C22" s="26" t="s">
        <v>152</v>
      </c>
      <c r="D22" s="38">
        <f ca="1">Series-USSeries</f>
        <v>7</v>
      </c>
      <c r="E22" s="29"/>
      <c r="F22" s="29"/>
    </row>
    <row r="23" spans="2:6" x14ac:dyDescent="0.45">
      <c r="B23" s="25" t="s">
        <v>157</v>
      </c>
      <c r="C23" s="26" t="s">
        <v>146</v>
      </c>
      <c r="D23" s="27" cm="1">
        <f t="array" aca="1" ref="D23" ca="1">_xll.VoseAggregateMC(LocalOnly,SeasonsObj)</f>
        <v>17</v>
      </c>
      <c r="E23" s="29"/>
      <c r="F23" s="26" t="s">
        <v>158</v>
      </c>
    </row>
    <row r="24" spans="2:6" x14ac:dyDescent="0.45">
      <c r="B24" s="25" t="s">
        <v>159</v>
      </c>
      <c r="C24" s="26" t="s">
        <v>146</v>
      </c>
      <c r="D24" s="27" cm="1">
        <f t="array" aca="1" ref="D24" ca="1">_xll.VoseAggregateMC(USSeries,SeasonsObj)</f>
        <v>10</v>
      </c>
      <c r="E24" s="29"/>
      <c r="F24" s="26" t="s">
        <v>160</v>
      </c>
    </row>
    <row r="25" spans="2:6" ht="8" customHeight="1" x14ac:dyDescent="0.45"/>
    <row r="26" spans="2:6" ht="22.05" customHeight="1" x14ac:dyDescent="0.5">
      <c r="B26" s="7" t="s">
        <v>161</v>
      </c>
      <c r="C26" s="8"/>
      <c r="D26" s="8"/>
      <c r="E26" s="8"/>
      <c r="F26" s="8"/>
    </row>
    <row r="27" spans="2:6" ht="18" customHeight="1" x14ac:dyDescent="0.45">
      <c r="B27" s="13" t="s">
        <v>162</v>
      </c>
    </row>
    <row r="28" spans="2:6" x14ac:dyDescent="0.45">
      <c r="B28" s="25" t="s">
        <v>163</v>
      </c>
      <c r="C28" s="26" t="s">
        <v>143</v>
      </c>
      <c r="D28" s="39" t="str" cm="1">
        <f t="array" ref="D28">_xll.VosePERTObject(RevPilot_Lo,RevPilot_ML,RevPilot_Hi)</f>
        <v>VosePERT(120,150,250)</v>
      </c>
      <c r="E28" s="29"/>
      <c r="F28" s="26" t="s">
        <v>164</v>
      </c>
    </row>
    <row r="29" spans="2:6" x14ac:dyDescent="0.45">
      <c r="B29" s="25" t="s">
        <v>165</v>
      </c>
      <c r="C29" s="26" t="s">
        <v>143</v>
      </c>
      <c r="D29" s="39" t="str" cm="1">
        <f t="array" ref="D29">_xll.VosePERTObject(MarPilot_Lo,MarPilot_ML,MarPilot_Hi)</f>
        <v>VosePERT(0.01,0.05,0.12)</v>
      </c>
      <c r="E29" s="29"/>
      <c r="F29" s="29"/>
    </row>
    <row r="30" spans="2:6" x14ac:dyDescent="0.45">
      <c r="B30" s="25" t="s">
        <v>166</v>
      </c>
      <c r="C30" s="26" t="s">
        <v>143</v>
      </c>
      <c r="D30" s="39" t="str" cm="1">
        <f t="array" ref="D30">_xll.VosePERTObject(RevLocal_Lo,RevLocal_ML,RevLocal_Hi)</f>
        <v>VosePERT(120,150,250)</v>
      </c>
      <c r="E30" s="29"/>
      <c r="F30" s="29"/>
    </row>
    <row r="31" spans="2:6" x14ac:dyDescent="0.45">
      <c r="B31" s="25" t="s">
        <v>167</v>
      </c>
      <c r="C31" s="26" t="s">
        <v>143</v>
      </c>
      <c r="D31" s="39" t="str" cm="1">
        <f t="array" ref="D31">_xll.VosePERTObject(MarLocal_Lo,MarLocal_ML,MarLocal_Hi)</f>
        <v>VosePERT(0.15,0.25,0.45)</v>
      </c>
      <c r="E31" s="29"/>
      <c r="F31" s="29"/>
    </row>
    <row r="32" spans="2:6" x14ac:dyDescent="0.45">
      <c r="B32" s="25" t="s">
        <v>168</v>
      </c>
      <c r="C32" s="26" t="s">
        <v>143</v>
      </c>
      <c r="D32" s="39" t="str" cm="1">
        <f t="array" ref="D32">_xll.VosePERTObject(RevUS_Lo,RevUS_ML,RevUS_Hi)</f>
        <v>VosePERT(240,550,1350)</v>
      </c>
      <c r="E32" s="29"/>
      <c r="F32" s="29"/>
    </row>
    <row r="33" spans="2:6" x14ac:dyDescent="0.45">
      <c r="B33" s="25" t="s">
        <v>169</v>
      </c>
      <c r="C33" s="26" t="s">
        <v>143</v>
      </c>
      <c r="D33" s="39" t="str" cm="1">
        <f t="array" ref="D33">_xll.VosePERTObject(MarUS_Lo,MarUS_ML,MarUS_Hi)</f>
        <v>VosePERT(0.65,0.7,0.85)</v>
      </c>
      <c r="E33" s="29"/>
      <c r="F33" s="29"/>
    </row>
    <row r="34" spans="2:6" x14ac:dyDescent="0.45">
      <c r="B34" s="25" t="s">
        <v>170</v>
      </c>
      <c r="C34" s="26" t="s">
        <v>109</v>
      </c>
      <c r="D34" s="41" cm="1">
        <f t="array" aca="1" ref="D34" ca="1">_xll.VoseInput("Profit from pilots","US$k")+_xll.VoseSumProduct(PilotsMade,ObjRevPilot,ObjMarPilot)</f>
        <v>222.86241680552254</v>
      </c>
      <c r="E34" s="29"/>
      <c r="F34" s="26" t="s">
        <v>171</v>
      </c>
    </row>
    <row r="35" spans="2:6" x14ac:dyDescent="0.45">
      <c r="B35" s="25" t="s">
        <v>172</v>
      </c>
      <c r="C35" s="26" t="s">
        <v>109</v>
      </c>
      <c r="D35" s="41" cm="1">
        <f t="array" aca="1" ref="D35" ca="1">_xll.VoseInput("Profit from local broadcasts","US$k")+_xll.VoseSumProduct(SeasonsLocal+SeasonsUS,ObjRevLocal,ObjMarLocal)</f>
        <v>1050.1551511643236</v>
      </c>
      <c r="E35" s="29"/>
      <c r="F35" s="26" t="s">
        <v>173</v>
      </c>
    </row>
    <row r="36" spans="2:6" x14ac:dyDescent="0.45">
      <c r="B36" s="25" t="s">
        <v>174</v>
      </c>
      <c r="C36" s="26" t="s">
        <v>109</v>
      </c>
      <c r="D36" s="41" cm="1">
        <f t="array" aca="1" ref="D36" ca="1">_xll.VoseInput("Profit from US sales","US$k")+_xll.VoseSumProduct(SeasonsUS,ObjRevUS,ObjMarUS)</f>
        <v>5569.6050362271308</v>
      </c>
      <c r="E36" s="29"/>
      <c r="F36" s="26" t="s">
        <v>175</v>
      </c>
    </row>
    <row r="37" spans="2:6" ht="8" customHeight="1" x14ac:dyDescent="0.45"/>
    <row r="38" spans="2:6" ht="22.05" customHeight="1" x14ac:dyDescent="0.5">
      <c r="B38" s="7" t="s">
        <v>176</v>
      </c>
      <c r="C38" s="8"/>
      <c r="D38" s="8"/>
      <c r="E38" s="8"/>
      <c r="F38" s="8"/>
    </row>
    <row r="39" spans="2:6" ht="18" customHeight="1" x14ac:dyDescent="0.45">
      <c r="B39" s="13" t="s">
        <v>177</v>
      </c>
    </row>
    <row r="40" spans="2:6" ht="18" customHeight="1" x14ac:dyDescent="0.45">
      <c r="B40" s="36" t="s">
        <v>178</v>
      </c>
      <c r="C40" s="36" t="s">
        <v>96</v>
      </c>
      <c r="D40" s="37" t="s">
        <v>179</v>
      </c>
      <c r="E40" s="5"/>
      <c r="F40" s="36" t="s">
        <v>180</v>
      </c>
    </row>
    <row r="41" spans="2:6" x14ac:dyDescent="0.45">
      <c r="B41" s="25" t="s">
        <v>181</v>
      </c>
      <c r="C41" s="26" t="s">
        <v>109</v>
      </c>
      <c r="D41" s="42" cm="1">
        <f t="array" aca="1" ref="D41" ca="1">_xll.VoseOutput("Profit","US$k")+ProfitPilots+ProfitLocal+ProfitUS</f>
        <v>6842.6226041969767</v>
      </c>
      <c r="E41" s="29"/>
      <c r="F41" s="26" t="s">
        <v>182</v>
      </c>
    </row>
    <row r="42" spans="2:6" x14ac:dyDescent="0.45">
      <c r="B42" s="25" t="s">
        <v>183</v>
      </c>
      <c r="C42" s="26" t="s">
        <v>184</v>
      </c>
      <c r="D42" s="38">
        <f ca="1">IF(USSeries=0,1,0)</f>
        <v>0</v>
      </c>
      <c r="E42" s="29"/>
      <c r="F42" s="26"/>
    </row>
    <row r="43" spans="2:6" x14ac:dyDescent="0.45">
      <c r="B43" s="25" t="s">
        <v>185</v>
      </c>
      <c r="C43" s="26" t="s">
        <v>109</v>
      </c>
      <c r="D43" s="33">
        <f ca="1">Profit*NoUS</f>
        <v>0</v>
      </c>
      <c r="E43" s="29"/>
      <c r="F43" s="26" t="s">
        <v>186</v>
      </c>
    </row>
    <row r="44" spans="2:6" ht="8" customHeight="1" x14ac:dyDescent="0.45"/>
    <row r="45" spans="2:6" ht="22.05" customHeight="1" x14ac:dyDescent="0.5">
      <c r="B45" s="7" t="s">
        <v>187</v>
      </c>
      <c r="C45" s="8"/>
      <c r="D45" s="8"/>
      <c r="E45" s="8"/>
      <c r="F45" s="8"/>
    </row>
    <row r="46" spans="2:6" ht="18" customHeight="1" x14ac:dyDescent="0.45">
      <c r="B46" s="13" t="s">
        <v>188</v>
      </c>
    </row>
    <row r="47" spans="2:6" x14ac:dyDescent="0.45">
      <c r="B47" s="25" t="s">
        <v>189</v>
      </c>
      <c r="C47" s="29"/>
      <c r="D47" s="43" t="str">
        <f>IF(ABS(SUM(D9:D13)-1)&lt;0.0001,"OK","CHECK")</f>
        <v>OK</v>
      </c>
      <c r="E47" s="29"/>
      <c r="F47" s="29"/>
    </row>
    <row r="48" spans="2:6" ht="14" customHeight="1" x14ac:dyDescent="0.45"/>
  </sheetData>
  <conditionalFormatting sqref="D47">
    <cfRule type="expression" dxfId="4" priority="1">
      <formula>D47="CHECK"</formula>
    </cfRule>
  </conditionalFormatting>
  <dataValidations count="1">
    <dataValidation type="decimal" showErrorMessage="1" errorTitle="Probability" error="Enter a value between 0% and 100%." sqref="D9:D13" xr:uid="{00000000-0002-0000-0200-000000000000}">
      <formula1>0</formula1>
      <formula2>1</formula2>
    </dataValidation>
  </dataValidations>
  <hyperlinks>
    <hyperlink ref="B4" location="'Inputs'!A1" display="◂  Inputs" xr:uid="{00000000-0004-0000-0200-000000000000}"/>
    <hyperlink ref="F4" location="'Results'!A1" display="Next:  Results  ▸" xr:uid="{00000000-0004-0000-0200-000001000000}"/>
  </hyperlinks>
  <printOptions horizontalCentered="1"/>
  <pageMargins left="0.4" right="0.4" top="0.5" bottom="0.6" header="0.25" footer="0.25"/>
  <pageSetup paperSize="9" scale="80"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1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190</v>
      </c>
      <c r="C3" s="1"/>
      <c r="D3" s="1"/>
      <c r="E3" s="1"/>
      <c r="F3" s="1"/>
      <c r="G3" s="1"/>
      <c r="H3" s="1"/>
      <c r="I3" s="1"/>
      <c r="J3" s="1"/>
      <c r="K3" s="1"/>
      <c r="L3" s="1"/>
      <c r="M3" s="1"/>
      <c r="N3" s="1"/>
      <c r="O3" s="1"/>
      <c r="P3" s="1"/>
      <c r="Q3" s="1"/>
      <c r="R3" s="1"/>
    </row>
    <row r="4" spans="1:18" ht="20" customHeight="1" x14ac:dyDescent="0.45">
      <c r="A4" s="5"/>
      <c r="B4" s="22" t="s">
        <v>191</v>
      </c>
      <c r="C4" s="5"/>
      <c r="D4" s="5"/>
      <c r="E4" s="5"/>
      <c r="F4" s="5"/>
      <c r="G4" s="5"/>
      <c r="H4" s="5"/>
      <c r="I4" s="5"/>
      <c r="J4" s="5"/>
      <c r="K4" s="5"/>
      <c r="L4" s="5"/>
      <c r="M4" s="5"/>
      <c r="N4" s="5"/>
      <c r="O4" s="5"/>
      <c r="P4" s="5"/>
      <c r="Q4" s="5"/>
      <c r="R4" s="5"/>
    </row>
    <row r="5" spans="1:18" ht="8" customHeight="1" x14ac:dyDescent="0.45"/>
    <row r="6" spans="1:18" ht="26" customHeight="1" x14ac:dyDescent="0.45">
      <c r="B6" s="44" t="str" cm="1">
        <f t="array" aca="1" ref="B6" ca="1">IF(ISNUMBER(_xll.VoseSimMean(Profit)),"✔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5"/>
      <c r="D6" s="45"/>
      <c r="E6" s="45"/>
      <c r="F6" s="45"/>
      <c r="G6" s="45"/>
    </row>
    <row r="7" spans="1:18" x14ac:dyDescent="0.45">
      <c r="B7" s="46"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192</v>
      </c>
      <c r="C9" s="8"/>
      <c r="D9" s="8"/>
      <c r="E9" s="8"/>
      <c r="F9" s="8"/>
      <c r="G9" s="8"/>
      <c r="I9" s="47" t="s">
        <v>193</v>
      </c>
      <c r="J9" s="8"/>
      <c r="K9" s="8"/>
      <c r="L9" s="8"/>
      <c r="M9" s="8"/>
      <c r="N9" s="8"/>
      <c r="O9" s="8"/>
      <c r="P9" s="8"/>
      <c r="Q9" s="8"/>
      <c r="R9" s="8"/>
    </row>
    <row r="10" spans="1:18" ht="18" customHeight="1" x14ac:dyDescent="0.45">
      <c r="B10" s="13" t="s">
        <v>194</v>
      </c>
    </row>
    <row r="11" spans="1:18" ht="18" customHeight="1" x14ac:dyDescent="0.45">
      <c r="B11" s="23" t="s">
        <v>195</v>
      </c>
      <c r="C11" s="23" t="s">
        <v>96</v>
      </c>
      <c r="D11" s="24" t="s">
        <v>179</v>
      </c>
      <c r="E11" s="5"/>
      <c r="F11" s="5"/>
      <c r="G11" s="5"/>
    </row>
    <row r="12" spans="1:18" ht="22.05" customHeight="1" x14ac:dyDescent="0.45">
      <c r="B12" s="48" t="s">
        <v>196</v>
      </c>
      <c r="C12" s="26" t="s">
        <v>109</v>
      </c>
      <c r="D12" s="49" cm="1">
        <f t="array" aca="1" ref="D12" ca="1">_xll.VoseSimMean(Profit)</f>
        <v>3562.095353492432</v>
      </c>
      <c r="E12" s="29"/>
      <c r="F12" s="29"/>
      <c r="G12" s="29"/>
    </row>
    <row r="13" spans="1:18" x14ac:dyDescent="0.45">
      <c r="B13" s="25" t="s">
        <v>197</v>
      </c>
      <c r="C13" s="26" t="s">
        <v>119</v>
      </c>
      <c r="D13" s="50" cm="1">
        <f t="array" aca="1" ref="D13" ca="1">_xll.VoseSimProbability(Profit,2000)</f>
        <v>0.21677832216778323</v>
      </c>
      <c r="E13" s="29"/>
      <c r="F13" s="29"/>
      <c r="G13" s="29"/>
    </row>
    <row r="14" spans="1:18" ht="18" customHeight="1" x14ac:dyDescent="0.45">
      <c r="B14" s="23" t="s">
        <v>195</v>
      </c>
      <c r="C14" s="23" t="s">
        <v>96</v>
      </c>
      <c r="D14" s="24" t="s">
        <v>198</v>
      </c>
      <c r="E14" s="24" t="s">
        <v>199</v>
      </c>
      <c r="F14" s="24" t="s">
        <v>200</v>
      </c>
      <c r="G14" s="24" t="s">
        <v>102</v>
      </c>
    </row>
    <row r="15" spans="1:18" x14ac:dyDescent="0.45">
      <c r="B15" s="25" t="s">
        <v>201</v>
      </c>
      <c r="C15" s="26" t="s">
        <v>109</v>
      </c>
      <c r="D15" s="51" cm="1">
        <f t="array" aca="1" ref="D15" ca="1">_xll.VoseSimPercentile(Profit,0.1)</f>
        <v>1428.6503283116754</v>
      </c>
      <c r="E15" s="51" cm="1">
        <f t="array" aca="1" ref="E15" ca="1">_xll.VoseSimPercentile(Profit,0.5)</f>
        <v>3269.1203134320217</v>
      </c>
      <c r="F15" s="51" cm="1">
        <f t="array" aca="1" ref="F15" ca="1">_xll.VoseSimPercentile(Profit,0.9)</f>
        <v>6051.0009540737137</v>
      </c>
      <c r="G15" s="51" cm="1">
        <f t="array" aca="1" ref="G15" ca="1">_xll.VoseSimMean(Profit)</f>
        <v>3562.095353492432</v>
      </c>
    </row>
    <row r="16" spans="1:18" ht="8" customHeight="1" x14ac:dyDescent="0.45"/>
    <row r="17" spans="2:18" ht="22.05" customHeight="1" x14ac:dyDescent="0.5">
      <c r="B17" s="7" t="s">
        <v>202</v>
      </c>
      <c r="C17" s="8"/>
      <c r="D17" s="8"/>
      <c r="E17" s="8"/>
      <c r="F17" s="8"/>
      <c r="G17" s="8"/>
    </row>
    <row r="18" spans="2:18" ht="18" customHeight="1" x14ac:dyDescent="0.45">
      <c r="B18" s="13" t="s">
        <v>203</v>
      </c>
    </row>
    <row r="19" spans="2:18" ht="18" customHeight="1" x14ac:dyDescent="0.45">
      <c r="B19" s="23" t="s">
        <v>204</v>
      </c>
      <c r="C19" s="23" t="s">
        <v>96</v>
      </c>
      <c r="D19" s="24" t="s">
        <v>102</v>
      </c>
      <c r="E19" s="24" t="s">
        <v>205</v>
      </c>
      <c r="F19" s="5"/>
      <c r="G19" s="5"/>
    </row>
    <row r="20" spans="2:18" x14ac:dyDescent="0.45">
      <c r="B20" s="25" t="s">
        <v>206</v>
      </c>
      <c r="C20" s="26" t="s">
        <v>109</v>
      </c>
      <c r="D20" s="51" cm="1">
        <f t="array" aca="1" ref="D20" ca="1">_xll.VoseSimMean(ProfitPilots)</f>
        <v>289.14053602333985</v>
      </c>
      <c r="E20" s="52">
        <f ca="1">IFERROR(D20/SUM(D$20:D$22),"–")</f>
        <v>8.1171475586652692E-2</v>
      </c>
      <c r="F20" s="29"/>
      <c r="G20" s="29"/>
    </row>
    <row r="21" spans="2:18" x14ac:dyDescent="0.45">
      <c r="B21" s="25" t="s">
        <v>61</v>
      </c>
      <c r="C21" s="26" t="s">
        <v>109</v>
      </c>
      <c r="D21" s="51" cm="1">
        <f t="array" aca="1" ref="D21" ca="1">_xll.VoseSimMean(ProfitLocal)</f>
        <v>1051.7655176284673</v>
      </c>
      <c r="E21" s="52">
        <f ca="1">IFERROR(D21/SUM(D$20:D$22),"–")</f>
        <v>0.29526596378091652</v>
      </c>
      <c r="F21" s="29"/>
      <c r="G21" s="29"/>
    </row>
    <row r="22" spans="2:18" x14ac:dyDescent="0.45">
      <c r="B22" s="25" t="s">
        <v>207</v>
      </c>
      <c r="C22" s="26" t="s">
        <v>109</v>
      </c>
      <c r="D22" s="51" cm="1">
        <f t="array" aca="1" ref="D22" ca="1">_xll.VoseSimMean(ProfitUS)</f>
        <v>2221.1892998406238</v>
      </c>
      <c r="E22" s="52">
        <f ca="1">IFERROR(D22/SUM(D$20:D$22),"–")</f>
        <v>0.62356256063243076</v>
      </c>
      <c r="F22" s="29"/>
      <c r="G22" s="29"/>
    </row>
    <row r="23" spans="2:18" ht="8" customHeight="1" x14ac:dyDescent="0.45"/>
    <row r="24" spans="2:18" ht="22.05" customHeight="1" x14ac:dyDescent="0.5">
      <c r="B24" s="7" t="s">
        <v>208</v>
      </c>
      <c r="C24" s="8"/>
      <c r="D24" s="8"/>
      <c r="E24" s="8"/>
      <c r="F24" s="8"/>
      <c r="G24" s="8"/>
    </row>
    <row r="25" spans="2:18" ht="18" customHeight="1" x14ac:dyDescent="0.45">
      <c r="B25" s="13" t="s">
        <v>209</v>
      </c>
    </row>
    <row r="26" spans="2:18" ht="18" customHeight="1" x14ac:dyDescent="0.45">
      <c r="B26" s="23" t="s">
        <v>195</v>
      </c>
      <c r="C26" s="23" t="s">
        <v>96</v>
      </c>
      <c r="D26" s="24" t="s">
        <v>179</v>
      </c>
      <c r="E26" s="5"/>
      <c r="F26" s="5"/>
      <c r="G26" s="5"/>
    </row>
    <row r="27" spans="2:18" x14ac:dyDescent="0.45">
      <c r="B27" s="25" t="s">
        <v>210</v>
      </c>
      <c r="C27" s="26" t="s">
        <v>119</v>
      </c>
      <c r="D27" s="50" cm="1">
        <f t="array" aca="1" ref="D27" ca="1">_xll.VoseSimMean(NoUS)</f>
        <v>9.35E-2</v>
      </c>
      <c r="E27" s="29"/>
      <c r="F27" s="29"/>
      <c r="G27" s="29"/>
    </row>
    <row r="28" spans="2:18" x14ac:dyDescent="0.45">
      <c r="B28" s="25" t="s">
        <v>211</v>
      </c>
      <c r="C28" s="26" t="s">
        <v>109</v>
      </c>
      <c r="D28" s="51" cm="1">
        <f t="array" aca="1" ref="D28" ca="1">_xll.VoseSimMean(Profit)</f>
        <v>3562.095353492432</v>
      </c>
      <c r="E28" s="29"/>
      <c r="F28" s="29"/>
      <c r="G28" s="29"/>
    </row>
    <row r="29" spans="2:18" x14ac:dyDescent="0.45">
      <c r="B29" s="25" t="s">
        <v>212</v>
      </c>
      <c r="C29" s="26" t="s">
        <v>109</v>
      </c>
      <c r="D29" s="51" cm="1">
        <f t="array" aca="1" ref="D29" ca="1">_xll.VoseSimMean(ProfitNoUS)</f>
        <v>110.67932772750068</v>
      </c>
      <c r="E29" s="29"/>
      <c r="F29" s="29"/>
      <c r="G29" s="29"/>
    </row>
    <row r="30" spans="2:18" x14ac:dyDescent="0.45">
      <c r="B30" s="48" t="s">
        <v>213</v>
      </c>
      <c r="C30" s="26" t="s">
        <v>109</v>
      </c>
      <c r="D30" s="51">
        <f ca="1">IFERROR(D29/D27,"–")</f>
        <v>1183.7361254278148</v>
      </c>
      <c r="E30" s="29"/>
      <c r="F30" s="29"/>
      <c r="G30" s="29"/>
    </row>
    <row r="31" spans="2:18" ht="22.05" customHeight="1" x14ac:dyDescent="0.5">
      <c r="B31" s="7" t="s">
        <v>214</v>
      </c>
      <c r="C31" s="8"/>
      <c r="D31" s="8"/>
      <c r="E31" s="8"/>
      <c r="F31" s="8"/>
      <c r="G31" s="8"/>
      <c r="I31" s="47" t="s">
        <v>215</v>
      </c>
      <c r="J31" s="8"/>
      <c r="K31" s="8"/>
      <c r="L31" s="8"/>
      <c r="M31" s="8"/>
      <c r="N31" s="8"/>
      <c r="O31" s="8"/>
      <c r="P31" s="8"/>
      <c r="Q31" s="8"/>
      <c r="R31" s="8"/>
    </row>
    <row r="32" spans="2:18" ht="18" customHeight="1" x14ac:dyDescent="0.45">
      <c r="B32" s="13" t="s">
        <v>216</v>
      </c>
    </row>
    <row r="33" spans="2:7" ht="18" customHeight="1" x14ac:dyDescent="0.45">
      <c r="B33" s="23" t="s">
        <v>217</v>
      </c>
      <c r="C33" s="24" t="s">
        <v>218</v>
      </c>
      <c r="D33" s="24" t="s">
        <v>219</v>
      </c>
      <c r="E33" s="53" t="s">
        <v>220</v>
      </c>
      <c r="F33" s="5"/>
      <c r="G33" s="5"/>
    </row>
    <row r="34" spans="2:7" x14ac:dyDescent="0.45">
      <c r="B34" s="25" t="str">
        <f t="array" aca="1" ref="B34:E37" ca="1">_xll.VoseSimSensitivityMean(Profit,10,1,FALSE)</f>
        <v>Profit from US sales</v>
      </c>
      <c r="C34" s="51">
        <f ca="1"/>
        <v>1199.3710861344987</v>
      </c>
      <c r="D34" s="51">
        <f ca="1"/>
        <v>7305.0681466446385</v>
      </c>
      <c r="E34" s="54">
        <f ca="1"/>
        <v>1</v>
      </c>
      <c r="F34" s="29"/>
      <c r="G34" s="29"/>
    </row>
    <row r="35" spans="2:7" x14ac:dyDescent="0.45">
      <c r="B35" s="25" t="str">
        <f ca="1"/>
        <v>Profit from local broadcasts</v>
      </c>
      <c r="C35" s="51">
        <f ca="1"/>
        <v>1969.068614820093</v>
      </c>
      <c r="D35" s="51">
        <f ca="1"/>
        <v>5358.3126670434558</v>
      </c>
      <c r="E35" s="54">
        <f ca="1"/>
        <v>2</v>
      </c>
      <c r="F35" s="29"/>
      <c r="G35" s="29"/>
    </row>
    <row r="36" spans="2:7" x14ac:dyDescent="0.45">
      <c r="B36" s="25" t="str">
        <f ca="1"/>
        <v>Number of new pilots</v>
      </c>
      <c r="C36" s="51">
        <f ca="1"/>
        <v>3214.1387848839163</v>
      </c>
      <c r="D36" s="51">
        <f ca="1"/>
        <v>3965.220105885146</v>
      </c>
      <c r="E36" s="54">
        <f ca="1"/>
        <v>3</v>
      </c>
      <c r="F36" s="29"/>
      <c r="G36" s="29"/>
    </row>
    <row r="37" spans="2:7" x14ac:dyDescent="0.45">
      <c r="B37" s="25" t="str">
        <f ca="1"/>
        <v>Profit from pilots</v>
      </c>
      <c r="C37" s="51">
        <f ca="1"/>
        <v>3304.3119994752556</v>
      </c>
      <c r="D37" s="51">
        <f ca="1"/>
        <v>3901.1800720914953</v>
      </c>
      <c r="E37" s="54">
        <f ca="1"/>
        <v>4</v>
      </c>
      <c r="F37" s="29"/>
      <c r="G37" s="29"/>
    </row>
    <row r="45" spans="2:7" ht="22.05" customHeight="1" x14ac:dyDescent="0.5">
      <c r="B45" s="7" t="s">
        <v>221</v>
      </c>
      <c r="C45" s="8"/>
      <c r="D45" s="8"/>
      <c r="E45" s="8"/>
      <c r="F45" s="8"/>
      <c r="G45" s="8"/>
    </row>
    <row r="46" spans="2:7" ht="32" customHeight="1" x14ac:dyDescent="0.45">
      <c r="B46" s="63" t="s">
        <v>222</v>
      </c>
      <c r="C46" s="62"/>
      <c r="D46" s="62"/>
      <c r="E46" s="62"/>
      <c r="F46" s="62"/>
      <c r="G46" s="62"/>
    </row>
    <row r="47" spans="2:7" ht="32" customHeight="1" x14ac:dyDescent="0.45">
      <c r="B47" s="63" t="s">
        <v>223</v>
      </c>
      <c r="C47" s="62"/>
      <c r="D47" s="62"/>
      <c r="E47" s="62"/>
      <c r="F47" s="62"/>
      <c r="G47" s="62"/>
    </row>
    <row r="48" spans="2:7" ht="32" customHeight="1" x14ac:dyDescent="0.45">
      <c r="B48" s="63" t="s">
        <v>224</v>
      </c>
      <c r="C48" s="62"/>
      <c r="D48" s="62"/>
      <c r="E48" s="62"/>
      <c r="F48" s="62"/>
      <c r="G48" s="62"/>
    </row>
    <row r="49" spans="2:7" ht="19.05" customHeight="1" x14ac:dyDescent="0.45">
      <c r="B49" s="63" t="s">
        <v>225</v>
      </c>
      <c r="C49" s="62"/>
      <c r="D49" s="62"/>
      <c r="E49" s="62"/>
      <c r="F49" s="62"/>
      <c r="G49" s="62"/>
    </row>
    <row r="50" spans="2:7" ht="14" customHeight="1" x14ac:dyDescent="0.45"/>
    <row r="51" spans="2:7" ht="14" customHeight="1" x14ac:dyDescent="0.45"/>
    <row r="52" spans="2:7" ht="22.05" customHeight="1" x14ac:dyDescent="0.5">
      <c r="B52" s="7" t="s">
        <v>226</v>
      </c>
      <c r="C52" s="8"/>
      <c r="D52" s="8"/>
      <c r="E52" s="8"/>
      <c r="F52" s="8"/>
      <c r="G52" s="8"/>
    </row>
    <row r="53" spans="2:7" ht="18" customHeight="1" x14ac:dyDescent="0.45">
      <c r="B53" s="13" t="s">
        <v>227</v>
      </c>
    </row>
    <row r="54" spans="2:7" ht="28.05" hidden="1" customHeight="1" outlineLevel="1" x14ac:dyDescent="0.45">
      <c r="B54" s="24" t="s">
        <v>228</v>
      </c>
      <c r="C54" s="24" t="s">
        <v>229</v>
      </c>
      <c r="D54" s="24" t="s">
        <v>201</v>
      </c>
      <c r="E54" s="24" t="s">
        <v>230</v>
      </c>
      <c r="F54" s="24" t="s">
        <v>231</v>
      </c>
      <c r="G54" s="24" t="s">
        <v>232</v>
      </c>
    </row>
    <row r="55" spans="2:7" hidden="1" outlineLevel="1" x14ac:dyDescent="0.45">
      <c r="B55" s="55">
        <v>0.01</v>
      </c>
      <c r="C55" s="55">
        <f t="shared" ref="C55:C86" si="0">1-B55</f>
        <v>0.99</v>
      </c>
      <c r="D55" s="56" cm="1">
        <f t="array" aca="1" ref="D55" ca="1">IF(ISNUMBER(_xll.VoseSimPercentile(Profit,$B55)),_xll.VoseSimPercentile(Profit,$B55),NA())</f>
        <v>818.40374597212497</v>
      </c>
      <c r="E55" s="56" cm="1">
        <f t="array" aca="1" ref="E55" ca="1">IF(ISNUMBER(_xll.VoseSimPercentile(ProfitUS,$B55)),_xll.VoseSimPercentile(ProfitUS,$B55),NA())</f>
        <v>0</v>
      </c>
      <c r="F55" s="56" cm="1">
        <f t="array" aca="1" ref="F55" ca="1">IF(ISNUMBER(_xll.VoseSimPercentile(ProfitLocal,$B55)),_xll.VoseSimPercentile(ProfitLocal,$B55),NA())</f>
        <v>388.49257318103321</v>
      </c>
      <c r="G55" s="56" cm="1">
        <f t="array" aca="1" ref="G55" ca="1">IF(ISNUMBER(_xll.VoseSimPercentile(ProfitPilots,$B55)),_xll.VoseSimPercentile(ProfitPilots,$B55),NA())</f>
        <v>227.70304742952908</v>
      </c>
    </row>
    <row r="56" spans="2:7" hidden="1" outlineLevel="1" x14ac:dyDescent="0.45">
      <c r="B56" s="55">
        <v>0.03</v>
      </c>
      <c r="C56" s="55">
        <f t="shared" si="0"/>
        <v>0.97</v>
      </c>
      <c r="D56" s="56" cm="1">
        <f t="array" aca="1" ref="D56" ca="1">IF(ISNUMBER(_xll.VoseSimPercentile(Profit,$B56)),_xll.VoseSimPercentile(Profit,$B56),NA())</f>
        <v>1016.3571729798946</v>
      </c>
      <c r="E56" s="56" cm="1">
        <f t="array" aca="1" ref="E56" ca="1">IF(ISNUMBER(_xll.VoseSimPercentile(ProfitUS,$B56)),_xll.VoseSimPercentile(ProfitUS,$B56),NA())</f>
        <v>0</v>
      </c>
      <c r="F56" s="56" cm="1">
        <f t="array" aca="1" ref="F56" ca="1">IF(ISNUMBER(_xll.VoseSimPercentile(ProfitLocal,$B56)),_xll.VoseSimPercentile(ProfitLocal,$B56),NA())</f>
        <v>498.69057815604333</v>
      </c>
      <c r="G56" s="56" cm="1">
        <f t="array" aca="1" ref="G56" ca="1">IF(ISNUMBER(_xll.VoseSimPercentile(ProfitPilots,$B56)),_xll.VoseSimPercentile(ProfitPilots,$B56),NA())</f>
        <v>237.87434175843771</v>
      </c>
    </row>
    <row r="57" spans="2:7" hidden="1" outlineLevel="1" x14ac:dyDescent="0.45">
      <c r="B57" s="55">
        <v>0.05</v>
      </c>
      <c r="C57" s="55">
        <f t="shared" si="0"/>
        <v>0.95</v>
      </c>
      <c r="D57" s="56" cm="1">
        <f t="array" aca="1" ref="D57" ca="1">IF(ISNUMBER(_xll.VoseSimPercentile(Profit,$B57)),_xll.VoseSimPercentile(Profit,$B57),NA())</f>
        <v>1141.5045477515328</v>
      </c>
      <c r="E57" s="56" cm="1">
        <f t="array" aca="1" ref="E57" ca="1">IF(ISNUMBER(_xll.VoseSimPercentile(ProfitUS,$B57)),_xll.VoseSimPercentile(ProfitUS,$B57),NA())</f>
        <v>0</v>
      </c>
      <c r="F57" s="56" cm="1">
        <f t="array" aca="1" ref="F57" ca="1">IF(ISNUMBER(_xll.VoseSimPercentile(ProfitLocal,$B57)),_xll.VoseSimPercentile(ProfitLocal,$B57),NA())</f>
        <v>563.58457631869658</v>
      </c>
      <c r="G57" s="56" cm="1">
        <f t="array" aca="1" ref="G57" ca="1">IF(ISNUMBER(_xll.VoseSimPercentile(ProfitPilots,$B57)),_xll.VoseSimPercentile(ProfitPilots,$B57),NA())</f>
        <v>243.78089417628397</v>
      </c>
    </row>
    <row r="58" spans="2:7" hidden="1" outlineLevel="1" x14ac:dyDescent="0.45">
      <c r="B58" s="55">
        <v>7.0000000000000007E-2</v>
      </c>
      <c r="C58" s="55">
        <f t="shared" si="0"/>
        <v>0.92999999999999994</v>
      </c>
      <c r="D58" s="56" cm="1">
        <f t="array" aca="1" ref="D58" ca="1">IF(ISNUMBER(_xll.VoseSimPercentile(Profit,$B58)),_xll.VoseSimPercentile(Profit,$B58),NA())</f>
        <v>1269.4312109933126</v>
      </c>
      <c r="E58" s="56" cm="1">
        <f t="array" aca="1" ref="E58" ca="1">IF(ISNUMBER(_xll.VoseSimPercentile(ProfitUS,$B58)),_xll.VoseSimPercentile(ProfitUS,$B58),NA())</f>
        <v>0</v>
      </c>
      <c r="F58" s="56" cm="1">
        <f t="array" aca="1" ref="F58" ca="1">IF(ISNUMBER(_xll.VoseSimPercentile(ProfitLocal,$B58)),_xll.VoseSimPercentile(ProfitLocal,$B58),NA())</f>
        <v>603.72306937969211</v>
      </c>
      <c r="G58" s="56" cm="1">
        <f t="array" aca="1" ref="G58" ca="1">IF(ISNUMBER(_xll.VoseSimPercentile(ProfitPilots,$B58)),_xll.VoseSimPercentile(ProfitPilots,$B58),NA())</f>
        <v>247.69003851452504</v>
      </c>
    </row>
    <row r="59" spans="2:7" hidden="1" outlineLevel="1" x14ac:dyDescent="0.45">
      <c r="B59" s="55">
        <v>0.09</v>
      </c>
      <c r="C59" s="55">
        <f t="shared" si="0"/>
        <v>0.91</v>
      </c>
      <c r="D59" s="56" cm="1">
        <f t="array" aca="1" ref="D59" ca="1">IF(ISNUMBER(_xll.VoseSimPercentile(Profit,$B59)),_xll.VoseSimPercentile(Profit,$B59),NA())</f>
        <v>1371.8103786965339</v>
      </c>
      <c r="E59" s="56" cm="1">
        <f t="array" aca="1" ref="E59" ca="1">IF(ISNUMBER(_xll.VoseSimPercentile(ProfitUS,$B59)),_xll.VoseSimPercentile(ProfitUS,$B59),NA())</f>
        <v>0</v>
      </c>
      <c r="F59" s="56" cm="1">
        <f t="array" aca="1" ref="F59" ca="1">IF(ISNUMBER(_xll.VoseSimPercentile(ProfitLocal,$B59)),_xll.VoseSimPercentile(ProfitLocal,$B59),NA())</f>
        <v>642.43261361442387</v>
      </c>
      <c r="G59" s="56" cm="1">
        <f t="array" aca="1" ref="G59" ca="1">IF(ISNUMBER(_xll.VoseSimPercentile(ProfitPilots,$B59)),_xll.VoseSimPercentile(ProfitPilots,$B59),NA())</f>
        <v>250.97331044618559</v>
      </c>
    </row>
    <row r="60" spans="2:7" hidden="1" outlineLevel="1" x14ac:dyDescent="0.45">
      <c r="B60" s="55">
        <v>0.11</v>
      </c>
      <c r="C60" s="55">
        <f t="shared" si="0"/>
        <v>0.89</v>
      </c>
      <c r="D60" s="56" cm="1">
        <f t="array" aca="1" ref="D60" ca="1">IF(ISNUMBER(_xll.VoseSimPercentile(Profit,$B60)),_xll.VoseSimPercentile(Profit,$B60),NA())</f>
        <v>1478.85426060297</v>
      </c>
      <c r="E60" s="56" cm="1">
        <f t="array" aca="1" ref="E60" ca="1">IF(ISNUMBER(_xll.VoseSimPercentile(ProfitUS,$B60)),_xll.VoseSimPercentile(ProfitUS,$B60),NA())</f>
        <v>307.61394826966824</v>
      </c>
      <c r="F60" s="56" cm="1">
        <f t="array" aca="1" ref="F60" ca="1">IF(ISNUMBER(_xll.VoseSimPercentile(ProfitLocal,$B60)),_xll.VoseSimPercentile(ProfitLocal,$B60),NA())</f>
        <v>674.76483771069854</v>
      </c>
      <c r="G60" s="56" cm="1">
        <f t="array" aca="1" ref="G60" ca="1">IF(ISNUMBER(_xll.VoseSimPercentile(ProfitPilots,$B60)),_xll.VoseSimPercentile(ProfitPilots,$B60),NA())</f>
        <v>253.78893453202207</v>
      </c>
    </row>
    <row r="61" spans="2:7" hidden="1" outlineLevel="1" x14ac:dyDescent="0.45">
      <c r="B61" s="55">
        <v>0.13</v>
      </c>
      <c r="C61" s="55">
        <f t="shared" si="0"/>
        <v>0.87</v>
      </c>
      <c r="D61" s="56" cm="1">
        <f t="array" aca="1" ref="D61" ca="1">IF(ISNUMBER(_xll.VoseSimPercentile(Profit,$B61)),_xll.VoseSimPercentile(Profit,$B61),NA())</f>
        <v>1576.6489102267321</v>
      </c>
      <c r="E61" s="56" cm="1">
        <f t="array" aca="1" ref="E61" ca="1">IF(ISNUMBER(_xll.VoseSimPercentile(ProfitUS,$B61)),_xll.VoseSimPercentile(ProfitUS,$B61),NA())</f>
        <v>388.17339863622601</v>
      </c>
      <c r="F61" s="56" cm="1">
        <f t="array" aca="1" ref="F61" ca="1">IF(ISNUMBER(_xll.VoseSimPercentile(ProfitLocal,$B61)),_xll.VoseSimPercentile(ProfitLocal,$B61),NA())</f>
        <v>698.71125466160538</v>
      </c>
      <c r="G61" s="56" cm="1">
        <f t="array" aca="1" ref="G61" ca="1">IF(ISNUMBER(_xll.VoseSimPercentile(ProfitPilots,$B61)),_xll.VoseSimPercentile(ProfitPilots,$B61),NA())</f>
        <v>256.78019003963414</v>
      </c>
    </row>
    <row r="62" spans="2:7" hidden="1" outlineLevel="1" x14ac:dyDescent="0.45">
      <c r="B62" s="55">
        <v>0.15</v>
      </c>
      <c r="C62" s="55">
        <f t="shared" si="0"/>
        <v>0.85</v>
      </c>
      <c r="D62" s="56" cm="1">
        <f t="array" aca="1" ref="D62" ca="1">IF(ISNUMBER(_xll.VoseSimPercentile(Profit,$B62)),_xll.VoseSimPercentile(Profit,$B62),NA())</f>
        <v>1675.6952804737848</v>
      </c>
      <c r="E62" s="56" cm="1">
        <f t="array" aca="1" ref="E62" ca="1">IF(ISNUMBER(_xll.VoseSimPercentile(ProfitUS,$B62)),_xll.VoseSimPercentile(ProfitUS,$B62),NA())</f>
        <v>476.31045789019987</v>
      </c>
      <c r="F62" s="56" cm="1">
        <f t="array" aca="1" ref="F62" ca="1">IF(ISNUMBER(_xll.VoseSimPercentile(ProfitLocal,$B62)),_xll.VoseSimPercentile(ProfitLocal,$B62),NA())</f>
        <v>723.65104304083525</v>
      </c>
      <c r="G62" s="56" cm="1">
        <f t="array" aca="1" ref="G62" ca="1">IF(ISNUMBER(_xll.VoseSimPercentile(ProfitPilots,$B62)),_xll.VoseSimPercentile(ProfitPilots,$B62),NA())</f>
        <v>259.41090331595308</v>
      </c>
    </row>
    <row r="63" spans="2:7" hidden="1" outlineLevel="1" x14ac:dyDescent="0.45">
      <c r="B63" s="55">
        <v>0.17</v>
      </c>
      <c r="C63" s="55">
        <f t="shared" si="0"/>
        <v>0.83</v>
      </c>
      <c r="D63" s="56" cm="1">
        <f t="array" aca="1" ref="D63" ca="1">IF(ISNUMBER(_xll.VoseSimPercentile(Profit,$B63)),_xll.VoseSimPercentile(Profit,$B63),NA())</f>
        <v>1774.9492894932901</v>
      </c>
      <c r="E63" s="56" cm="1">
        <f t="array" aca="1" ref="E63" ca="1">IF(ISNUMBER(_xll.VoseSimPercentile(ProfitUS,$B63)),_xll.VoseSimPercentile(ProfitUS,$B63),NA())</f>
        <v>565.11107026243667</v>
      </c>
      <c r="F63" s="56" cm="1">
        <f t="array" aca="1" ref="F63" ca="1">IF(ISNUMBER(_xll.VoseSimPercentile(ProfitLocal,$B63)),_xll.VoseSimPercentile(ProfitLocal,$B63),NA())</f>
        <v>745.77184546722469</v>
      </c>
      <c r="G63" s="56" cm="1">
        <f t="array" aca="1" ref="G63" ca="1">IF(ISNUMBER(_xll.VoseSimPercentile(ProfitPilots,$B63)),_xll.VoseSimPercentile(ProfitPilots,$B63),NA())</f>
        <v>261.54320884435219</v>
      </c>
    </row>
    <row r="64" spans="2:7" hidden="1" outlineLevel="1" x14ac:dyDescent="0.45">
      <c r="B64" s="55">
        <v>0.19</v>
      </c>
      <c r="C64" s="55">
        <f t="shared" si="0"/>
        <v>0.81</v>
      </c>
      <c r="D64" s="56" cm="1">
        <f t="array" aca="1" ref="D64" ca="1">IF(ISNUMBER(_xll.VoseSimPercentile(Profit,$B64)),_xll.VoseSimPercentile(Profit,$B64),NA())</f>
        <v>1873.2200604650334</v>
      </c>
      <c r="E64" s="56" cm="1">
        <f t="array" aca="1" ref="E64" ca="1">IF(ISNUMBER(_xll.VoseSimPercentile(ProfitUS,$B64)),_xll.VoseSimPercentile(ProfitUS,$B64),NA())</f>
        <v>652.41239960133885</v>
      </c>
      <c r="F64" s="56" cm="1">
        <f t="array" aca="1" ref="F64" ca="1">IF(ISNUMBER(_xll.VoseSimPercentile(ProfitLocal,$B64)),_xll.VoseSimPercentile(ProfitLocal,$B64),NA())</f>
        <v>765.89500844852989</v>
      </c>
      <c r="G64" s="56" cm="1">
        <f t="array" aca="1" ref="G64" ca="1">IF(ISNUMBER(_xll.VoseSimPercentile(ProfitPilots,$B64)),_xll.VoseSimPercentile(ProfitPilots,$B64),NA())</f>
        <v>263.52321743731994</v>
      </c>
    </row>
    <row r="65" spans="2:7" hidden="1" outlineLevel="1" x14ac:dyDescent="0.45">
      <c r="B65" s="55">
        <v>0.21</v>
      </c>
      <c r="C65" s="55">
        <f t="shared" si="0"/>
        <v>0.79</v>
      </c>
      <c r="D65" s="56" cm="1">
        <f t="array" aca="1" ref="D65" ca="1">IF(ISNUMBER(_xll.VoseSimPercentile(Profit,$B65)),_xll.VoseSimPercentile(Profit,$B65),NA())</f>
        <v>1966.5108517742874</v>
      </c>
      <c r="E65" s="56" cm="1">
        <f t="array" aca="1" ref="E65" ca="1">IF(ISNUMBER(_xll.VoseSimPercentile(ProfitUS,$B65)),_xll.VoseSimPercentile(ProfitUS,$B65),NA())</f>
        <v>741.32798539936221</v>
      </c>
      <c r="F65" s="56" cm="1">
        <f t="array" aca="1" ref="F65" ca="1">IF(ISNUMBER(_xll.VoseSimPercentile(ProfitLocal,$B65)),_xll.VoseSimPercentile(ProfitLocal,$B65),NA())</f>
        <v>786.11119641668472</v>
      </c>
      <c r="G65" s="56" cm="1">
        <f t="array" aca="1" ref="G65" ca="1">IF(ISNUMBER(_xll.VoseSimPercentile(ProfitPilots,$B65)),_xll.VoseSimPercentile(ProfitPilots,$B65),NA())</f>
        <v>265.30735256541817</v>
      </c>
    </row>
    <row r="66" spans="2:7" hidden="1" outlineLevel="1" x14ac:dyDescent="0.45">
      <c r="B66" s="55">
        <v>0.23</v>
      </c>
      <c r="C66" s="55">
        <f t="shared" si="0"/>
        <v>0.77</v>
      </c>
      <c r="D66" s="56" cm="1">
        <f t="array" aca="1" ref="D66" ca="1">IF(ISNUMBER(_xll.VoseSimPercentile(Profit,$B66)),_xll.VoseSimPercentile(Profit,$B66),NA())</f>
        <v>2071.0670298483487</v>
      </c>
      <c r="E66" s="56" cm="1">
        <f t="array" aca="1" ref="E66" ca="1">IF(ISNUMBER(_xll.VoseSimPercentile(ProfitUS,$B66)),_xll.VoseSimPercentile(ProfitUS,$B66),NA())</f>
        <v>827.3519497685561</v>
      </c>
      <c r="F66" s="56" cm="1">
        <f t="array" aca="1" ref="F66" ca="1">IF(ISNUMBER(_xll.VoseSimPercentile(ProfitLocal,$B66)),_xll.VoseSimPercentile(ProfitLocal,$B66),NA())</f>
        <v>806.68633164995776</v>
      </c>
      <c r="G66" s="56" cm="1">
        <f t="array" aca="1" ref="G66" ca="1">IF(ISNUMBER(_xll.VoseSimPercentile(ProfitPilots,$B66)),_xll.VoseSimPercentile(ProfitPilots,$B66),NA())</f>
        <v>267.15642580558301</v>
      </c>
    </row>
    <row r="67" spans="2:7" hidden="1" outlineLevel="1" x14ac:dyDescent="0.45">
      <c r="B67" s="55">
        <v>0.25</v>
      </c>
      <c r="C67" s="55">
        <f t="shared" si="0"/>
        <v>0.75</v>
      </c>
      <c r="D67" s="56" cm="1">
        <f t="array" aca="1" ref="D67" ca="1">IF(ISNUMBER(_xll.VoseSimPercentile(Profit,$B67)),_xll.VoseSimPercentile(Profit,$B67),NA())</f>
        <v>2169.6852919787534</v>
      </c>
      <c r="E67" s="56" cm="1">
        <f t="array" aca="1" ref="E67" ca="1">IF(ISNUMBER(_xll.VoseSimPercentile(ProfitUS,$B67)),_xll.VoseSimPercentile(ProfitUS,$B67),NA())</f>
        <v>923.33854630286464</v>
      </c>
      <c r="F67" s="56" cm="1">
        <f t="array" aca="1" ref="F67" ca="1">IF(ISNUMBER(_xll.VoseSimPercentile(ProfitLocal,$B67)),_xll.VoseSimPercentile(ProfitLocal,$B67),NA())</f>
        <v>825.19943670662497</v>
      </c>
      <c r="G67" s="56" cm="1">
        <f t="array" aca="1" ref="G67" ca="1">IF(ISNUMBER(_xll.VoseSimPercentile(ProfitPilots,$B67)),_xll.VoseSimPercentile(ProfitPilots,$B67),NA())</f>
        <v>268.93600420030572</v>
      </c>
    </row>
    <row r="68" spans="2:7" hidden="1" outlineLevel="1" x14ac:dyDescent="0.45">
      <c r="B68" s="55">
        <v>0.27</v>
      </c>
      <c r="C68" s="55">
        <f t="shared" si="0"/>
        <v>0.73</v>
      </c>
      <c r="D68" s="56" cm="1">
        <f t="array" aca="1" ref="D68" ca="1">IF(ISNUMBER(_xll.VoseSimPercentile(Profit,$B68)),_xll.VoseSimPercentile(Profit,$B68),NA())</f>
        <v>2259.735376976651</v>
      </c>
      <c r="E68" s="56" cm="1">
        <f t="array" aca="1" ref="E68" ca="1">IF(ISNUMBER(_xll.VoseSimPercentile(ProfitUS,$B68)),_xll.VoseSimPercentile(ProfitUS,$B68),NA())</f>
        <v>1012.114537493537</v>
      </c>
      <c r="F68" s="56" cm="1">
        <f t="array" aca="1" ref="F68" ca="1">IF(ISNUMBER(_xll.VoseSimPercentile(ProfitLocal,$B68)),_xll.VoseSimPercentile(ProfitLocal,$B68),NA())</f>
        <v>844.28531903628596</v>
      </c>
      <c r="G68" s="56" cm="1">
        <f t="array" aca="1" ref="G68" ca="1">IF(ISNUMBER(_xll.VoseSimPercentile(ProfitPilots,$B68)),_xll.VoseSimPercentile(ProfitPilots,$B68),NA())</f>
        <v>270.64353261083158</v>
      </c>
    </row>
    <row r="69" spans="2:7" hidden="1" outlineLevel="1" x14ac:dyDescent="0.45">
      <c r="B69" s="55">
        <v>0.28999999999999998</v>
      </c>
      <c r="C69" s="55">
        <f t="shared" si="0"/>
        <v>0.71</v>
      </c>
      <c r="D69" s="56" cm="1">
        <f t="array" aca="1" ref="D69" ca="1">IF(ISNUMBER(_xll.VoseSimPercentile(Profit,$B69)),_xll.VoseSimPercentile(Profit,$B69),NA())</f>
        <v>2355.6055188226624</v>
      </c>
      <c r="E69" s="56" cm="1">
        <f t="array" aca="1" ref="E69" ca="1">IF(ISNUMBER(_xll.VoseSimPercentile(ProfitUS,$B69)),_xll.VoseSimPercentile(ProfitUS,$B69),NA())</f>
        <v>1100.7161261030662</v>
      </c>
      <c r="F69" s="56" cm="1">
        <f t="array" aca="1" ref="F69" ca="1">IF(ISNUMBER(_xll.VoseSimPercentile(ProfitLocal,$B69)),_xll.VoseSimPercentile(ProfitLocal,$B69),NA())</f>
        <v>860.41485568985627</v>
      </c>
      <c r="G69" s="56" cm="1">
        <f t="array" aca="1" ref="G69" ca="1">IF(ISNUMBER(_xll.VoseSimPercentile(ProfitPilots,$B69)),_xll.VoseSimPercentile(ProfitPilots,$B69),NA())</f>
        <v>272.34792688932373</v>
      </c>
    </row>
    <row r="70" spans="2:7" hidden="1" outlineLevel="1" x14ac:dyDescent="0.45">
      <c r="B70" s="55">
        <v>0.31</v>
      </c>
      <c r="C70" s="55">
        <f t="shared" si="0"/>
        <v>0.69</v>
      </c>
      <c r="D70" s="56" cm="1">
        <f t="array" aca="1" ref="D70" ca="1">IF(ISNUMBER(_xll.VoseSimPercentile(Profit,$B70)),_xll.VoseSimPercentile(Profit,$B70),NA())</f>
        <v>2445.28703958292</v>
      </c>
      <c r="E70" s="56" cm="1">
        <f t="array" aca="1" ref="E70" ca="1">IF(ISNUMBER(_xll.VoseSimPercentile(ProfitUS,$B70)),_xll.VoseSimPercentile(ProfitUS,$B70),NA())</f>
        <v>1189.3391847001233</v>
      </c>
      <c r="F70" s="56" cm="1">
        <f t="array" aca="1" ref="F70" ca="1">IF(ISNUMBER(_xll.VoseSimPercentile(ProfitLocal,$B70)),_xll.VoseSimPercentile(ProfitLocal,$B70),NA())</f>
        <v>878.05393903114532</v>
      </c>
      <c r="G70" s="56" cm="1">
        <f t="array" aca="1" ref="G70" ca="1">IF(ISNUMBER(_xll.VoseSimPercentile(ProfitPilots,$B70)),_xll.VoseSimPercentile(ProfitPilots,$B70),NA())</f>
        <v>274.00045441939989</v>
      </c>
    </row>
    <row r="71" spans="2:7" hidden="1" outlineLevel="1" x14ac:dyDescent="0.45">
      <c r="B71" s="55">
        <v>0.33</v>
      </c>
      <c r="C71" s="55">
        <f t="shared" si="0"/>
        <v>0.66999999999999993</v>
      </c>
      <c r="D71" s="56" cm="1">
        <f t="array" aca="1" ref="D71" ca="1">IF(ISNUMBER(_xll.VoseSimPercentile(Profit,$B71)),_xll.VoseSimPercentile(Profit,$B71),NA())</f>
        <v>2522.2608502776006</v>
      </c>
      <c r="E71" s="56" cm="1">
        <f t="array" aca="1" ref="E71" ca="1">IF(ISNUMBER(_xll.VoseSimPercentile(ProfitUS,$B71)),_xll.VoseSimPercentile(ProfitUS,$B71),NA())</f>
        <v>1259.1474386372697</v>
      </c>
      <c r="F71" s="56" cm="1">
        <f t="array" aca="1" ref="F71" ca="1">IF(ISNUMBER(_xll.VoseSimPercentile(ProfitLocal,$B71)),_xll.VoseSimPercentile(ProfitLocal,$B71),NA())</f>
        <v>894.14769596264944</v>
      </c>
      <c r="G71" s="56" cm="1">
        <f t="array" aca="1" ref="G71" ca="1">IF(ISNUMBER(_xll.VoseSimPercentile(ProfitPilots,$B71)),_xll.VoseSimPercentile(ProfitPilots,$B71),NA())</f>
        <v>275.46126702153055</v>
      </c>
    </row>
    <row r="72" spans="2:7" hidden="1" outlineLevel="1" x14ac:dyDescent="0.45">
      <c r="B72" s="55">
        <v>0.35</v>
      </c>
      <c r="C72" s="55">
        <f t="shared" si="0"/>
        <v>0.65</v>
      </c>
      <c r="D72" s="56" cm="1">
        <f t="array" aca="1" ref="D72" ca="1">IF(ISNUMBER(_xll.VoseSimPercentile(Profit,$B72)),_xll.VoseSimPercentile(Profit,$B72),NA())</f>
        <v>2606.7972536054504</v>
      </c>
      <c r="E72" s="56" cm="1">
        <f t="array" aca="1" ref="E72" ca="1">IF(ISNUMBER(_xll.VoseSimPercentile(ProfitUS,$B72)),_xll.VoseSimPercentile(ProfitUS,$B72),NA())</f>
        <v>1340.2472050729125</v>
      </c>
      <c r="F72" s="56" cm="1">
        <f t="array" aca="1" ref="F72" ca="1">IF(ISNUMBER(_xll.VoseSimPercentile(ProfitLocal,$B72)),_xll.VoseSimPercentile(ProfitLocal,$B72),NA())</f>
        <v>910.33752262596681</v>
      </c>
      <c r="G72" s="56" cm="1">
        <f t="array" aca="1" ref="G72" ca="1">IF(ISNUMBER(_xll.VoseSimPercentile(ProfitPilots,$B72)),_xll.VoseSimPercentile(ProfitPilots,$B72),NA())</f>
        <v>276.89843557588625</v>
      </c>
    </row>
    <row r="73" spans="2:7" hidden="1" outlineLevel="1" x14ac:dyDescent="0.45">
      <c r="B73" s="55">
        <v>0.37</v>
      </c>
      <c r="C73" s="55">
        <f t="shared" si="0"/>
        <v>0.63</v>
      </c>
      <c r="D73" s="56" cm="1">
        <f t="array" aca="1" ref="D73" ca="1">IF(ISNUMBER(_xll.VoseSimPercentile(Profit,$B73)),_xll.VoseSimPercentile(Profit,$B73),NA())</f>
        <v>2696.2707645370283</v>
      </c>
      <c r="E73" s="56" cm="1">
        <f t="array" aca="1" ref="E73" ca="1">IF(ISNUMBER(_xll.VoseSimPercentile(ProfitUS,$B73)),_xll.VoseSimPercentile(ProfitUS,$B73),NA())</f>
        <v>1427.0052097049579</v>
      </c>
      <c r="F73" s="56" cm="1">
        <f t="array" aca="1" ref="F73" ca="1">IF(ISNUMBER(_xll.VoseSimPercentile(ProfitLocal,$B73)),_xll.VoseSimPercentile(ProfitLocal,$B73),NA())</f>
        <v>927.81674956448069</v>
      </c>
      <c r="G73" s="56" cm="1">
        <f t="array" aca="1" ref="G73" ca="1">IF(ISNUMBER(_xll.VoseSimPercentile(ProfitPilots,$B73)),_xll.VoseSimPercentile(ProfitPilots,$B73),NA())</f>
        <v>278.29698376623861</v>
      </c>
    </row>
    <row r="74" spans="2:7" hidden="1" outlineLevel="1" x14ac:dyDescent="0.45">
      <c r="B74" s="55">
        <v>0.39</v>
      </c>
      <c r="C74" s="55">
        <f t="shared" si="0"/>
        <v>0.61</v>
      </c>
      <c r="D74" s="56" cm="1">
        <f t="array" aca="1" ref="D74" ca="1">IF(ISNUMBER(_xll.VoseSimPercentile(Profit,$B74)),_xll.VoseSimPercentile(Profit,$B74),NA())</f>
        <v>2793.8798289351453</v>
      </c>
      <c r="E74" s="56" cm="1">
        <f t="array" aca="1" ref="E74" ca="1">IF(ISNUMBER(_xll.VoseSimPercentile(ProfitUS,$B74)),_xll.VoseSimPercentile(ProfitUS,$B74),NA())</f>
        <v>1505.3625914532249</v>
      </c>
      <c r="F74" s="56" cm="1">
        <f t="array" aca="1" ref="F74" ca="1">IF(ISNUMBER(_xll.VoseSimPercentile(ProfitLocal,$B74)),_xll.VoseSimPercentile(ProfitLocal,$B74),NA())</f>
        <v>942.1612653541174</v>
      </c>
      <c r="G74" s="56" cm="1">
        <f t="array" aca="1" ref="G74" ca="1">IF(ISNUMBER(_xll.VoseSimPercentile(ProfitPilots,$B74)),_xll.VoseSimPercentile(ProfitPilots,$B74),NA())</f>
        <v>279.62880469516494</v>
      </c>
    </row>
    <row r="75" spans="2:7" hidden="1" outlineLevel="1" x14ac:dyDescent="0.45">
      <c r="B75" s="55">
        <v>0.41</v>
      </c>
      <c r="C75" s="55">
        <f t="shared" si="0"/>
        <v>0.59000000000000008</v>
      </c>
      <c r="D75" s="56" cm="1">
        <f t="array" aca="1" ref="D75" ca="1">IF(ISNUMBER(_xll.VoseSimPercentile(Profit,$B75)),_xll.VoseSimPercentile(Profit,$B75),NA())</f>
        <v>2877.013929370697</v>
      </c>
      <c r="E75" s="56" cm="1">
        <f t="array" aca="1" ref="E75" ca="1">IF(ISNUMBER(_xll.VoseSimPercentile(ProfitUS,$B75)),_xll.VoseSimPercentile(ProfitUS,$B75),NA())</f>
        <v>1581.8088079236418</v>
      </c>
      <c r="F75" s="56" cm="1">
        <f t="array" aca="1" ref="F75" ca="1">IF(ISNUMBER(_xll.VoseSimPercentile(ProfitLocal,$B75)),_xll.VoseSimPercentile(ProfitLocal,$B75),NA())</f>
        <v>956.99515291491491</v>
      </c>
      <c r="G75" s="56" cm="1">
        <f t="array" aca="1" ref="G75" ca="1">IF(ISNUMBER(_xll.VoseSimPercentile(ProfitPilots,$B75)),_xll.VoseSimPercentile(ProfitPilots,$B75),NA())</f>
        <v>281.39598874721258</v>
      </c>
    </row>
    <row r="76" spans="2:7" hidden="1" outlineLevel="1" x14ac:dyDescent="0.45">
      <c r="B76" s="55">
        <v>0.43</v>
      </c>
      <c r="C76" s="55">
        <f t="shared" si="0"/>
        <v>0.57000000000000006</v>
      </c>
      <c r="D76" s="56" cm="1">
        <f t="array" aca="1" ref="D76" ca="1">IF(ISNUMBER(_xll.VoseSimPercentile(Profit,$B76)),_xll.VoseSimPercentile(Profit,$B76),NA())</f>
        <v>2969.3933671294535</v>
      </c>
      <c r="E76" s="56" cm="1">
        <f t="array" aca="1" ref="E76" ca="1">IF(ISNUMBER(_xll.VoseSimPercentile(ProfitUS,$B76)),_xll.VoseSimPercentile(ProfitUS,$B76),NA())</f>
        <v>1661.1776101010605</v>
      </c>
      <c r="F76" s="56" cm="1">
        <f t="array" aca="1" ref="F76" ca="1">IF(ISNUMBER(_xll.VoseSimPercentile(ProfitLocal,$B76)),_xll.VoseSimPercentile(ProfitLocal,$B76),NA())</f>
        <v>974.70286148917467</v>
      </c>
      <c r="G76" s="56" cm="1">
        <f t="array" aca="1" ref="G76" ca="1">IF(ISNUMBER(_xll.VoseSimPercentile(ProfitPilots,$B76)),_xll.VoseSimPercentile(ProfitPilots,$B76),NA())</f>
        <v>283.10825896778294</v>
      </c>
    </row>
    <row r="77" spans="2:7" hidden="1" outlineLevel="1" x14ac:dyDescent="0.45">
      <c r="B77" s="55">
        <v>0.45</v>
      </c>
      <c r="C77" s="55">
        <f t="shared" si="0"/>
        <v>0.55000000000000004</v>
      </c>
      <c r="D77" s="56" cm="1">
        <f t="array" aca="1" ref="D77" ca="1">IF(ISNUMBER(_xll.VoseSimPercentile(Profit,$B77)),_xll.VoseSimPercentile(Profit,$B77),NA())</f>
        <v>3051.5778820810619</v>
      </c>
      <c r="E77" s="56" cm="1">
        <f t="array" aca="1" ref="E77" ca="1">IF(ISNUMBER(_xll.VoseSimPercentile(ProfitUS,$B77)),_xll.VoseSimPercentile(ProfitUS,$B77),NA())</f>
        <v>1744.670356986916</v>
      </c>
      <c r="F77" s="56" cm="1">
        <f t="array" aca="1" ref="F77" ca="1">IF(ISNUMBER(_xll.VoseSimPercentile(ProfitLocal,$B77)),_xll.VoseSimPercentile(ProfitLocal,$B77),NA())</f>
        <v>990.21123437417998</v>
      </c>
      <c r="G77" s="56" cm="1">
        <f t="array" aca="1" ref="G77" ca="1">IF(ISNUMBER(_xll.VoseSimPercentile(ProfitPilots,$B77)),_xll.VoseSimPercentile(ProfitPilots,$B77),NA())</f>
        <v>284.83714696822483</v>
      </c>
    </row>
    <row r="78" spans="2:7" hidden="1" outlineLevel="1" x14ac:dyDescent="0.45">
      <c r="B78" s="55">
        <v>0.47</v>
      </c>
      <c r="C78" s="55">
        <f t="shared" si="0"/>
        <v>0.53</v>
      </c>
      <c r="D78" s="56" cm="1">
        <f t="array" aca="1" ref="D78" ca="1">IF(ISNUMBER(_xll.VoseSimPercentile(Profit,$B78)),_xll.VoseSimPercentile(Profit,$B78),NA())</f>
        <v>3144.7130541480578</v>
      </c>
      <c r="E78" s="56" cm="1">
        <f t="array" aca="1" ref="E78" ca="1">IF(ISNUMBER(_xll.VoseSimPercentile(ProfitUS,$B78)),_xll.VoseSimPercentile(ProfitUS,$B78),NA())</f>
        <v>1826.4279466673968</v>
      </c>
      <c r="F78" s="56" cm="1">
        <f t="array" aca="1" ref="F78" ca="1">IF(ISNUMBER(_xll.VoseSimPercentile(ProfitLocal,$B78)),_xll.VoseSimPercentile(ProfitLocal,$B78),NA())</f>
        <v>1007.6345726050208</v>
      </c>
      <c r="G78" s="56" cm="1">
        <f t="array" aca="1" ref="G78" ca="1">IF(ISNUMBER(_xll.VoseSimPercentile(ProfitPilots,$B78)),_xll.VoseSimPercentile(ProfitPilots,$B78),NA())</f>
        <v>286.07406667572064</v>
      </c>
    </row>
    <row r="79" spans="2:7" hidden="1" outlineLevel="1" x14ac:dyDescent="0.45">
      <c r="B79" s="55">
        <v>0.49</v>
      </c>
      <c r="C79" s="55">
        <f t="shared" si="0"/>
        <v>0.51</v>
      </c>
      <c r="D79" s="56" cm="1">
        <f t="array" aca="1" ref="D79" ca="1">IF(ISNUMBER(_xll.VoseSimPercentile(Profit,$B79)),_xll.VoseSimPercentile(Profit,$B79),NA())</f>
        <v>3222.4035580845148</v>
      </c>
      <c r="E79" s="56" cm="1">
        <f t="array" aca="1" ref="E79" ca="1">IF(ISNUMBER(_xll.VoseSimPercentile(ProfitUS,$B79)),_xll.VoseSimPercentile(ProfitUS,$B79),NA())</f>
        <v>1902.2933328846566</v>
      </c>
      <c r="F79" s="56" cm="1">
        <f t="array" aca="1" ref="F79" ca="1">IF(ISNUMBER(_xll.VoseSimPercentile(ProfitLocal,$B79)),_xll.VoseSimPercentile(ProfitLocal,$B79),NA())</f>
        <v>1024.5575361784652</v>
      </c>
      <c r="G79" s="56" cm="1">
        <f t="array" aca="1" ref="G79" ca="1">IF(ISNUMBER(_xll.VoseSimPercentile(ProfitPilots,$B79)),_xll.VoseSimPercentile(ProfitPilots,$B79),NA())</f>
        <v>287.50743803004548</v>
      </c>
    </row>
    <row r="80" spans="2:7" hidden="1" outlineLevel="1" x14ac:dyDescent="0.45">
      <c r="B80" s="55">
        <v>0.51</v>
      </c>
      <c r="C80" s="55">
        <f t="shared" si="0"/>
        <v>0.49</v>
      </c>
      <c r="D80" s="56" cm="1">
        <f t="array" aca="1" ref="D80" ca="1">IF(ISNUMBER(_xll.VoseSimPercentile(Profit,$B80)),_xll.VoseSimPercentile(Profit,$B80),NA())</f>
        <v>3313.2301939663867</v>
      </c>
      <c r="E80" s="56" cm="1">
        <f t="array" aca="1" ref="E80" ca="1">IF(ISNUMBER(_xll.VoseSimPercentile(ProfitUS,$B80)),_xll.VoseSimPercentile(ProfitUS,$B80),NA())</f>
        <v>1991.51005897914</v>
      </c>
      <c r="F80" s="56" cm="1">
        <f t="array" aca="1" ref="F80" ca="1">IF(ISNUMBER(_xll.VoseSimPercentile(ProfitLocal,$B80)),_xll.VoseSimPercentile(ProfitLocal,$B80),NA())</f>
        <v>1041.4058472084666</v>
      </c>
      <c r="G80" s="56" cm="1">
        <f t="array" aca="1" ref="G80" ca="1">IF(ISNUMBER(_xll.VoseSimPercentile(ProfitPilots,$B80)),_xll.VoseSimPercentile(ProfitPilots,$B80),NA())</f>
        <v>289.18293923157938</v>
      </c>
    </row>
    <row r="81" spans="2:7" hidden="1" outlineLevel="1" x14ac:dyDescent="0.45">
      <c r="B81" s="55">
        <v>0.53</v>
      </c>
      <c r="C81" s="55">
        <f t="shared" si="0"/>
        <v>0.47</v>
      </c>
      <c r="D81" s="56" cm="1">
        <f t="array" aca="1" ref="D81" ca="1">IF(ISNUMBER(_xll.VoseSimPercentile(Profit,$B81)),_xll.VoseSimPercentile(Profit,$B81),NA())</f>
        <v>3422.9537412680452</v>
      </c>
      <c r="E81" s="56" cm="1">
        <f t="array" aca="1" ref="E81" ca="1">IF(ISNUMBER(_xll.VoseSimPercentile(ProfitUS,$B81)),_xll.VoseSimPercentile(ProfitUS,$B81),NA())</f>
        <v>2079.8163777680033</v>
      </c>
      <c r="F81" s="56" cm="1">
        <f t="array" aca="1" ref="F81" ca="1">IF(ISNUMBER(_xll.VoseSimPercentile(ProfitLocal,$B81)),_xll.VoseSimPercentile(ProfitLocal,$B81),NA())</f>
        <v>1057.2629692460528</v>
      </c>
      <c r="G81" s="56" cm="1">
        <f t="array" aca="1" ref="G81" ca="1">IF(ISNUMBER(_xll.VoseSimPercentile(ProfitPilots,$B81)),_xll.VoseSimPercentile(ProfitPilots,$B81),NA())</f>
        <v>290.62957585524254</v>
      </c>
    </row>
    <row r="82" spans="2:7" hidden="1" outlineLevel="1" x14ac:dyDescent="0.45">
      <c r="B82" s="55">
        <v>0.55000000000000004</v>
      </c>
      <c r="C82" s="55">
        <f t="shared" si="0"/>
        <v>0.44999999999999996</v>
      </c>
      <c r="D82" s="56" cm="1">
        <f t="array" aca="1" ref="D82" ca="1">IF(ISNUMBER(_xll.VoseSimPercentile(Profit,$B82)),_xll.VoseSimPercentile(Profit,$B82),NA())</f>
        <v>3515.769969491349</v>
      </c>
      <c r="E82" s="56" cm="1">
        <f t="array" aca="1" ref="E82" ca="1">IF(ISNUMBER(_xll.VoseSimPercentile(ProfitUS,$B82)),_xll.VoseSimPercentile(ProfitUS,$B82),NA())</f>
        <v>2167.2715806655183</v>
      </c>
      <c r="F82" s="56" cm="1">
        <f t="array" aca="1" ref="F82" ca="1">IF(ISNUMBER(_xll.VoseSimPercentile(ProfitLocal,$B82)),_xll.VoseSimPercentile(ProfitLocal,$B82),NA())</f>
        <v>1072.7420062101314</v>
      </c>
      <c r="G82" s="56" cm="1">
        <f t="array" aca="1" ref="G82" ca="1">IF(ISNUMBER(_xll.VoseSimPercentile(ProfitPilots,$B82)),_xll.VoseSimPercentile(ProfitPilots,$B82),NA())</f>
        <v>292.05322085835394</v>
      </c>
    </row>
    <row r="83" spans="2:7" hidden="1" outlineLevel="1" x14ac:dyDescent="0.45">
      <c r="B83" s="55">
        <v>0.56999999999999995</v>
      </c>
      <c r="C83" s="55">
        <f t="shared" si="0"/>
        <v>0.43000000000000005</v>
      </c>
      <c r="D83" s="56" cm="1">
        <f t="array" aca="1" ref="D83" ca="1">IF(ISNUMBER(_xll.VoseSimPercentile(Profit,$B83)),_xll.VoseSimPercentile(Profit,$B83),NA())</f>
        <v>3622.5691742988847</v>
      </c>
      <c r="E83" s="56" cm="1">
        <f t="array" aca="1" ref="E83" ca="1">IF(ISNUMBER(_xll.VoseSimPercentile(ProfitUS,$B83)),_xll.VoseSimPercentile(ProfitUS,$B83),NA())</f>
        <v>2264.6078958651651</v>
      </c>
      <c r="F83" s="56" cm="1">
        <f t="array" aca="1" ref="F83" ca="1">IF(ISNUMBER(_xll.VoseSimPercentile(ProfitLocal,$B83)),_xll.VoseSimPercentile(ProfitLocal,$B83),NA())</f>
        <v>1088.5907366837844</v>
      </c>
      <c r="G83" s="56" cm="1">
        <f t="array" aca="1" ref="G83" ca="1">IF(ISNUMBER(_xll.VoseSimPercentile(ProfitPilots,$B83)),_xll.VoseSimPercentile(ProfitPilots,$B83),NA())</f>
        <v>293.52132552472358</v>
      </c>
    </row>
    <row r="84" spans="2:7" hidden="1" outlineLevel="1" x14ac:dyDescent="0.45">
      <c r="B84" s="55">
        <v>0.59</v>
      </c>
      <c r="C84" s="55">
        <f t="shared" si="0"/>
        <v>0.41000000000000003</v>
      </c>
      <c r="D84" s="56" cm="1">
        <f t="array" aca="1" ref="D84" ca="1">IF(ISNUMBER(_xll.VoseSimPercentile(Profit,$B84)),_xll.VoseSimPercentile(Profit,$B84),NA())</f>
        <v>3715.5503189645951</v>
      </c>
      <c r="E84" s="56" cm="1">
        <f t="array" aca="1" ref="E84" ca="1">IF(ISNUMBER(_xll.VoseSimPercentile(ProfitUS,$B84)),_xll.VoseSimPercentile(ProfitUS,$B84),NA())</f>
        <v>2358.432450231644</v>
      </c>
      <c r="F84" s="56" cm="1">
        <f t="array" aca="1" ref="F84" ca="1">IF(ISNUMBER(_xll.VoseSimPercentile(ProfitLocal,$B84)),_xll.VoseSimPercentile(ProfitLocal,$B84),NA())</f>
        <v>1107.4702015278078</v>
      </c>
      <c r="G84" s="56" cm="1">
        <f t="array" aca="1" ref="G84" ca="1">IF(ISNUMBER(_xll.VoseSimPercentile(ProfitPilots,$B84)),_xll.VoseSimPercentile(ProfitPilots,$B84),NA())</f>
        <v>295.07935749369199</v>
      </c>
    </row>
    <row r="85" spans="2:7" hidden="1" outlineLevel="1" x14ac:dyDescent="0.45">
      <c r="B85" s="55">
        <v>0.61</v>
      </c>
      <c r="C85" s="55">
        <f t="shared" si="0"/>
        <v>0.39</v>
      </c>
      <c r="D85" s="56" cm="1">
        <f t="array" aca="1" ref="D85" ca="1">IF(ISNUMBER(_xll.VoseSimPercentile(Profit,$B85)),_xll.VoseSimPercentile(Profit,$B85),NA())</f>
        <v>3814.4615938290749</v>
      </c>
      <c r="E85" s="56" cm="1">
        <f t="array" aca="1" ref="E85" ca="1">IF(ISNUMBER(_xll.VoseSimPercentile(ProfitUS,$B85)),_xll.VoseSimPercentile(ProfitUS,$B85),NA())</f>
        <v>2443.246426837647</v>
      </c>
      <c r="F85" s="56" cm="1">
        <f t="array" aca="1" ref="F85" ca="1">IF(ISNUMBER(_xll.VoseSimPercentile(ProfitLocal,$B85)),_xll.VoseSimPercentile(ProfitLocal,$B85),NA())</f>
        <v>1126.2267151474025</v>
      </c>
      <c r="G85" s="56" cm="1">
        <f t="array" aca="1" ref="G85" ca="1">IF(ISNUMBER(_xll.VoseSimPercentile(ProfitPilots,$B85)),_xll.VoseSimPercentile(ProfitPilots,$B85),NA())</f>
        <v>296.65214802186136</v>
      </c>
    </row>
    <row r="86" spans="2:7" hidden="1" outlineLevel="1" x14ac:dyDescent="0.45">
      <c r="B86" s="55">
        <v>0.63</v>
      </c>
      <c r="C86" s="55">
        <f t="shared" si="0"/>
        <v>0.37</v>
      </c>
      <c r="D86" s="56" cm="1">
        <f t="array" aca="1" ref="D86" ca="1">IF(ISNUMBER(_xll.VoseSimPercentile(Profit,$B86)),_xll.VoseSimPercentile(Profit,$B86),NA())</f>
        <v>3918.1474924829868</v>
      </c>
      <c r="E86" s="56" cm="1">
        <f t="array" aca="1" ref="E86" ca="1">IF(ISNUMBER(_xll.VoseSimPercentile(ProfitUS,$B86)),_xll.VoseSimPercentile(ProfitUS,$B86),NA())</f>
        <v>2551.0473800184695</v>
      </c>
      <c r="F86" s="56" cm="1">
        <f t="array" aca="1" ref="F86" ca="1">IF(ISNUMBER(_xll.VoseSimPercentile(ProfitLocal,$B86)),_xll.VoseSimPercentile(ProfitLocal,$B86),NA())</f>
        <v>1143.6104369531456</v>
      </c>
      <c r="G86" s="56" cm="1">
        <f t="array" aca="1" ref="G86" ca="1">IF(ISNUMBER(_xll.VoseSimPercentile(ProfitPilots,$B86)),_xll.VoseSimPercentile(ProfitPilots,$B86),NA())</f>
        <v>298.33892213968971</v>
      </c>
    </row>
    <row r="87" spans="2:7" hidden="1" outlineLevel="1" x14ac:dyDescent="0.45">
      <c r="B87" s="55">
        <v>0.65</v>
      </c>
      <c r="C87" s="55">
        <f t="shared" ref="C87:C118" si="1">1-B87</f>
        <v>0.35</v>
      </c>
      <c r="D87" s="56" cm="1">
        <f t="array" aca="1" ref="D87" ca="1">IF(ISNUMBER(_xll.VoseSimPercentile(Profit,$B87)),_xll.VoseSimPercentile(Profit,$B87),NA())</f>
        <v>4019.719437539748</v>
      </c>
      <c r="E87" s="56" cm="1">
        <f t="array" aca="1" ref="E87" ca="1">IF(ISNUMBER(_xll.VoseSimPercentile(ProfitUS,$B87)),_xll.VoseSimPercentile(ProfitUS,$B87),NA())</f>
        <v>2641.4416130455211</v>
      </c>
      <c r="F87" s="56" cm="1">
        <f t="array" aca="1" ref="F87" ca="1">IF(ISNUMBER(_xll.VoseSimPercentile(ProfitLocal,$B87)),_xll.VoseSimPercentile(ProfitLocal,$B87),NA())</f>
        <v>1159.3793007683985</v>
      </c>
      <c r="G87" s="56" cm="1">
        <f t="array" aca="1" ref="G87" ca="1">IF(ISNUMBER(_xll.VoseSimPercentile(ProfitPilots,$B87)),_xll.VoseSimPercentile(ProfitPilots,$B87),NA())</f>
        <v>299.96850556161667</v>
      </c>
    </row>
    <row r="88" spans="2:7" hidden="1" outlineLevel="1" x14ac:dyDescent="0.45">
      <c r="B88" s="55">
        <v>0.67</v>
      </c>
      <c r="C88" s="55">
        <f t="shared" si="1"/>
        <v>0.32999999999999996</v>
      </c>
      <c r="D88" s="56" cm="1">
        <f t="array" aca="1" ref="D88" ca="1">IF(ISNUMBER(_xll.VoseSimPercentile(Profit,$B88)),_xll.VoseSimPercentile(Profit,$B88),NA())</f>
        <v>4133.2225519411977</v>
      </c>
      <c r="E88" s="56" cm="1">
        <f t="array" aca="1" ref="E88" ca="1">IF(ISNUMBER(_xll.VoseSimPercentile(ProfitUS,$B88)),_xll.VoseSimPercentile(ProfitUS,$B88),NA())</f>
        <v>2741.7673405756245</v>
      </c>
      <c r="F88" s="56" cm="1">
        <f t="array" aca="1" ref="F88" ca="1">IF(ISNUMBER(_xll.VoseSimPercentile(ProfitLocal,$B88)),_xll.VoseSimPercentile(ProfitLocal,$B88),NA())</f>
        <v>1178.7963023495995</v>
      </c>
      <c r="G88" s="56" cm="1">
        <f t="array" aca="1" ref="G88" ca="1">IF(ISNUMBER(_xll.VoseSimPercentile(ProfitPilots,$B88)),_xll.VoseSimPercentile(ProfitPilots,$B88),NA())</f>
        <v>301.50028113199488</v>
      </c>
    </row>
    <row r="89" spans="2:7" hidden="1" outlineLevel="1" x14ac:dyDescent="0.45">
      <c r="B89" s="55">
        <v>0.69</v>
      </c>
      <c r="C89" s="55">
        <f t="shared" si="1"/>
        <v>0.31000000000000005</v>
      </c>
      <c r="D89" s="56" cm="1">
        <f t="array" aca="1" ref="D89" ca="1">IF(ISNUMBER(_xll.VoseSimPercentile(Profit,$B89)),_xll.VoseSimPercentile(Profit,$B89),NA())</f>
        <v>4246.8945702859119</v>
      </c>
      <c r="E89" s="56" cm="1">
        <f t="array" aca="1" ref="E89" ca="1">IF(ISNUMBER(_xll.VoseSimPercentile(ProfitUS,$B89)),_xll.VoseSimPercentile(ProfitUS,$B89),NA())</f>
        <v>2847.4890705919802</v>
      </c>
      <c r="F89" s="56" cm="1">
        <f t="array" aca="1" ref="F89" ca="1">IF(ISNUMBER(_xll.VoseSimPercentile(ProfitLocal,$B89)),_xll.VoseSimPercentile(ProfitLocal,$B89),NA())</f>
        <v>1196.1343225102391</v>
      </c>
      <c r="G89" s="56" cm="1">
        <f t="array" aca="1" ref="G89" ca="1">IF(ISNUMBER(_xll.VoseSimPercentile(ProfitPilots,$B89)),_xll.VoseSimPercentile(ProfitPilots,$B89),NA())</f>
        <v>303.14045216952258</v>
      </c>
    </row>
    <row r="90" spans="2:7" hidden="1" outlineLevel="1" x14ac:dyDescent="0.45">
      <c r="B90" s="55">
        <v>0.71</v>
      </c>
      <c r="C90" s="55">
        <f t="shared" si="1"/>
        <v>0.29000000000000004</v>
      </c>
      <c r="D90" s="56" cm="1">
        <f t="array" aca="1" ref="D90" ca="1">IF(ISNUMBER(_xll.VoseSimPercentile(Profit,$B90)),_xll.VoseSimPercentile(Profit,$B90),NA())</f>
        <v>4376.4614261123461</v>
      </c>
      <c r="E90" s="56" cm="1">
        <f t="array" aca="1" ref="E90" ca="1">IF(ISNUMBER(_xll.VoseSimPercentile(ProfitUS,$B90)),_xll.VoseSimPercentile(ProfitUS,$B90),NA())</f>
        <v>2961.3536294218802</v>
      </c>
      <c r="F90" s="56" cm="1">
        <f t="array" aca="1" ref="F90" ca="1">IF(ISNUMBER(_xll.VoseSimPercentile(ProfitLocal,$B90)),_xll.VoseSimPercentile(ProfitLocal,$B90),NA())</f>
        <v>1213.9014616190821</v>
      </c>
      <c r="G90" s="56" cm="1">
        <f t="array" aca="1" ref="G90" ca="1">IF(ISNUMBER(_xll.VoseSimPercentile(ProfitPilots,$B90)),_xll.VoseSimPercentile(ProfitPilots,$B90),NA())</f>
        <v>304.76660801840461</v>
      </c>
    </row>
    <row r="91" spans="2:7" hidden="1" outlineLevel="1" x14ac:dyDescent="0.45">
      <c r="B91" s="55">
        <v>0.73</v>
      </c>
      <c r="C91" s="55">
        <f t="shared" si="1"/>
        <v>0.27</v>
      </c>
      <c r="D91" s="56" cm="1">
        <f t="array" aca="1" ref="D91" ca="1">IF(ISNUMBER(_xll.VoseSimPercentile(Profit,$B91)),_xll.VoseSimPercentile(Profit,$B91),NA())</f>
        <v>4500.4098303366845</v>
      </c>
      <c r="E91" s="56" cm="1">
        <f t="array" aca="1" ref="E91" ca="1">IF(ISNUMBER(_xll.VoseSimPercentile(ProfitUS,$B91)),_xll.VoseSimPercentile(ProfitUS,$B91),NA())</f>
        <v>3085.4552061141562</v>
      </c>
      <c r="F91" s="56" cm="1">
        <f t="array" aca="1" ref="F91" ca="1">IF(ISNUMBER(_xll.VoseSimPercentile(ProfitLocal,$B91)),_xll.VoseSimPercentile(ProfitLocal,$B91),NA())</f>
        <v>1236.1520541029033</v>
      </c>
      <c r="G91" s="56" cm="1">
        <f t="array" aca="1" ref="G91" ca="1">IF(ISNUMBER(_xll.VoseSimPercentile(ProfitPilots,$B91)),_xll.VoseSimPercentile(ProfitPilots,$B91),NA())</f>
        <v>306.59902383469199</v>
      </c>
    </row>
    <row r="92" spans="2:7" hidden="1" outlineLevel="1" x14ac:dyDescent="0.45">
      <c r="B92" s="55">
        <v>0.75</v>
      </c>
      <c r="C92" s="55">
        <f t="shared" si="1"/>
        <v>0.25</v>
      </c>
      <c r="D92" s="56" cm="1">
        <f t="array" aca="1" ref="D92" ca="1">IF(ISNUMBER(_xll.VoseSimPercentile(Profit,$B92)),_xll.VoseSimPercentile(Profit,$B92),NA())</f>
        <v>4625.7996099493885</v>
      </c>
      <c r="E92" s="56" cm="1">
        <f t="array" aca="1" ref="E92" ca="1">IF(ISNUMBER(_xll.VoseSimPercentile(ProfitUS,$B92)),_xll.VoseSimPercentile(ProfitUS,$B92),NA())</f>
        <v>3200.8584815099593</v>
      </c>
      <c r="F92" s="56" cm="1">
        <f t="array" aca="1" ref="F92" ca="1">IF(ISNUMBER(_xll.VoseSimPercentile(ProfitLocal,$B92)),_xll.VoseSimPercentile(ProfitLocal,$B92),NA())</f>
        <v>1257.45863896371</v>
      </c>
      <c r="G92" s="56" cm="1">
        <f t="array" aca="1" ref="G92" ca="1">IF(ISNUMBER(_xll.VoseSimPercentile(ProfitPilots,$B92)),_xll.VoseSimPercentile(ProfitPilots,$B92),NA())</f>
        <v>308.42738848412745</v>
      </c>
    </row>
    <row r="93" spans="2:7" hidden="1" outlineLevel="1" x14ac:dyDescent="0.45">
      <c r="B93" s="55">
        <v>0.77</v>
      </c>
      <c r="C93" s="55">
        <f t="shared" si="1"/>
        <v>0.22999999999999998</v>
      </c>
      <c r="D93" s="56" cm="1">
        <f t="array" aca="1" ref="D93" ca="1">IF(ISNUMBER(_xll.VoseSimPercentile(Profit,$B93)),_xll.VoseSimPercentile(Profit,$B93),NA())</f>
        <v>4765.8934636423655</v>
      </c>
      <c r="E93" s="56" cm="1">
        <f t="array" aca="1" ref="E93" ca="1">IF(ISNUMBER(_xll.VoseSimPercentile(ProfitUS,$B93)),_xll.VoseSimPercentile(ProfitUS,$B93),NA())</f>
        <v>3334.1328772785314</v>
      </c>
      <c r="F93" s="56" cm="1">
        <f t="array" aca="1" ref="F93" ca="1">IF(ISNUMBER(_xll.VoseSimPercentile(ProfitLocal,$B93)),_xll.VoseSimPercentile(ProfitLocal,$B93),NA())</f>
        <v>1280.743084879879</v>
      </c>
      <c r="G93" s="56" cm="1">
        <f t="array" aca="1" ref="G93" ca="1">IF(ISNUMBER(_xll.VoseSimPercentile(ProfitPilots,$B93)),_xll.VoseSimPercentile(ProfitPilots,$B93),NA())</f>
        <v>310.27917510704611</v>
      </c>
    </row>
    <row r="94" spans="2:7" hidden="1" outlineLevel="1" x14ac:dyDescent="0.45">
      <c r="B94" s="55">
        <v>0.79</v>
      </c>
      <c r="C94" s="55">
        <f t="shared" si="1"/>
        <v>0.20999999999999996</v>
      </c>
      <c r="D94" s="56" cm="1">
        <f t="array" aca="1" ref="D94" ca="1">IF(ISNUMBER(_xll.VoseSimPercentile(Profit,$B94)),_xll.VoseSimPercentile(Profit,$B94),NA())</f>
        <v>4908.475906631822</v>
      </c>
      <c r="E94" s="56" cm="1">
        <f t="array" aca="1" ref="E94" ca="1">IF(ISNUMBER(_xll.VoseSimPercentile(ProfitUS,$B94)),_xll.VoseSimPercentile(ProfitUS,$B94),NA())</f>
        <v>3472.6059972082985</v>
      </c>
      <c r="F94" s="56" cm="1">
        <f t="array" aca="1" ref="F94" ca="1">IF(ISNUMBER(_xll.VoseSimPercentile(ProfitLocal,$B94)),_xll.VoseSimPercentile(ProfitLocal,$B94),NA())</f>
        <v>1306.8700042413582</v>
      </c>
      <c r="G94" s="56" cm="1">
        <f t="array" aca="1" ref="G94" ca="1">IF(ISNUMBER(_xll.VoseSimPercentile(ProfitPilots,$B94)),_xll.VoseSimPercentile(ProfitPilots,$B94),NA())</f>
        <v>312.46664379250092</v>
      </c>
    </row>
    <row r="95" spans="2:7" hidden="1" outlineLevel="1" x14ac:dyDescent="0.45">
      <c r="B95" s="55">
        <v>0.81</v>
      </c>
      <c r="C95" s="55">
        <f t="shared" si="1"/>
        <v>0.18999999999999995</v>
      </c>
      <c r="D95" s="56" cm="1">
        <f t="array" aca="1" ref="D95" ca="1">IF(ISNUMBER(_xll.VoseSimPercentile(Profit,$B95)),_xll.VoseSimPercentile(Profit,$B95),NA())</f>
        <v>5072.4983793371739</v>
      </c>
      <c r="E95" s="56" cm="1">
        <f t="array" aca="1" ref="E95" ca="1">IF(ISNUMBER(_xll.VoseSimPercentile(ProfitUS,$B95)),_xll.VoseSimPercentile(ProfitUS,$B95),NA())</f>
        <v>3628.4000311664672</v>
      </c>
      <c r="F95" s="56" cm="1">
        <f t="array" aca="1" ref="F95" ca="1">IF(ISNUMBER(_xll.VoseSimPercentile(ProfitLocal,$B95)),_xll.VoseSimPercentile(ProfitLocal,$B95),NA())</f>
        <v>1330.0415693894693</v>
      </c>
      <c r="G95" s="56" cm="1">
        <f t="array" aca="1" ref="G95" ca="1">IF(ISNUMBER(_xll.VoseSimPercentile(ProfitPilots,$B95)),_xll.VoseSimPercentile(ProfitPilots,$B95),NA())</f>
        <v>314.78093337751648</v>
      </c>
    </row>
    <row r="96" spans="2:7" hidden="1" outlineLevel="1" x14ac:dyDescent="0.45">
      <c r="B96" s="55">
        <v>0.83</v>
      </c>
      <c r="C96" s="55">
        <f t="shared" si="1"/>
        <v>0.17000000000000004</v>
      </c>
      <c r="D96" s="56" cm="1">
        <f t="array" aca="1" ref="D96" ca="1">IF(ISNUMBER(_xll.VoseSimPercentile(Profit,$B96)),_xll.VoseSimPercentile(Profit,$B96),NA())</f>
        <v>5261.5344972367275</v>
      </c>
      <c r="E96" s="56" cm="1">
        <f t="array" aca="1" ref="E96" ca="1">IF(ISNUMBER(_xll.VoseSimPercentile(ProfitUS,$B96)),_xll.VoseSimPercentile(ProfitUS,$B96),NA())</f>
        <v>3789.18177931835</v>
      </c>
      <c r="F96" s="56" cm="1">
        <f t="array" aca="1" ref="F96" ca="1">IF(ISNUMBER(_xll.VoseSimPercentile(ProfitLocal,$B96)),_xll.VoseSimPercentile(ProfitLocal,$B96),NA())</f>
        <v>1356.328632788576</v>
      </c>
      <c r="G96" s="56" cm="1">
        <f t="array" aca="1" ref="G96" ca="1">IF(ISNUMBER(_xll.VoseSimPercentile(ProfitPilots,$B96)),_xll.VoseSimPercentile(ProfitPilots,$B96),NA())</f>
        <v>316.96011819797701</v>
      </c>
    </row>
    <row r="97" spans="2:7" hidden="1" outlineLevel="1" x14ac:dyDescent="0.45">
      <c r="B97" s="55">
        <v>0.85</v>
      </c>
      <c r="C97" s="55">
        <f t="shared" si="1"/>
        <v>0.15000000000000002</v>
      </c>
      <c r="D97" s="56" cm="1">
        <f t="array" aca="1" ref="D97" ca="1">IF(ISNUMBER(_xll.VoseSimPercentile(Profit,$B97)),_xll.VoseSimPercentile(Profit,$B97),NA())</f>
        <v>5458.8081626525764</v>
      </c>
      <c r="E97" s="56" cm="1">
        <f t="array" aca="1" ref="E97" ca="1">IF(ISNUMBER(_xll.VoseSimPercentile(ProfitUS,$B97)),_xll.VoseSimPercentile(ProfitUS,$B97),NA())</f>
        <v>3963.3888670175102</v>
      </c>
      <c r="F97" s="56" cm="1">
        <f t="array" aca="1" ref="F97" ca="1">IF(ISNUMBER(_xll.VoseSimPercentile(ProfitLocal,$B97)),_xll.VoseSimPercentile(ProfitLocal,$B97),NA())</f>
        <v>1385.0667154593289</v>
      </c>
      <c r="G97" s="56" cm="1">
        <f t="array" aca="1" ref="G97" ca="1">IF(ISNUMBER(_xll.VoseSimPercentile(ProfitPilots,$B97)),_xll.VoseSimPercentile(ProfitPilots,$B97),NA())</f>
        <v>319.52418841194606</v>
      </c>
    </row>
    <row r="98" spans="2:7" hidden="1" outlineLevel="1" x14ac:dyDescent="0.45">
      <c r="B98" s="55">
        <v>0.87</v>
      </c>
      <c r="C98" s="55">
        <f t="shared" si="1"/>
        <v>0.13</v>
      </c>
      <c r="D98" s="56" cm="1">
        <f t="array" aca="1" ref="D98" ca="1">IF(ISNUMBER(_xll.VoseSimPercentile(Profit,$B98)),_xll.VoseSimPercentile(Profit,$B98),NA())</f>
        <v>5687.4727357620368</v>
      </c>
      <c r="E98" s="56" cm="1">
        <f t="array" aca="1" ref="E98" ca="1">IF(ISNUMBER(_xll.VoseSimPercentile(ProfitUS,$B98)),_xll.VoseSimPercentile(ProfitUS,$B98),NA())</f>
        <v>4159.5543308044262</v>
      </c>
      <c r="F98" s="56" cm="1">
        <f t="array" aca="1" ref="F98" ca="1">IF(ISNUMBER(_xll.VoseSimPercentile(ProfitLocal,$B98)),_xll.VoseSimPercentile(ProfitLocal,$B98),NA())</f>
        <v>1416.551767070127</v>
      </c>
      <c r="G98" s="56" cm="1">
        <f t="array" aca="1" ref="G98" ca="1">IF(ISNUMBER(_xll.VoseSimPercentile(ProfitPilots,$B98)),_xll.VoseSimPercentile(ProfitPilots,$B98),NA())</f>
        <v>322.19874338119206</v>
      </c>
    </row>
    <row r="99" spans="2:7" hidden="1" outlineLevel="1" x14ac:dyDescent="0.45">
      <c r="B99" s="55">
        <v>0.89</v>
      </c>
      <c r="C99" s="55">
        <f t="shared" si="1"/>
        <v>0.10999999999999999</v>
      </c>
      <c r="D99" s="56" cm="1">
        <f t="array" aca="1" ref="D99" ca="1">IF(ISNUMBER(_xll.VoseSimPercentile(Profit,$B99)),_xll.VoseSimPercentile(Profit,$B99),NA())</f>
        <v>5906.8235558796823</v>
      </c>
      <c r="E99" s="56" cm="1">
        <f t="array" aca="1" ref="E99" ca="1">IF(ISNUMBER(_xll.VoseSimPercentile(ProfitUS,$B99)),_xll.VoseSimPercentile(ProfitUS,$B99),NA())</f>
        <v>4359.7368786479392</v>
      </c>
      <c r="F99" s="56" cm="1">
        <f t="array" aca="1" ref="F99" ca="1">IF(ISNUMBER(_xll.VoseSimPercentile(ProfitLocal,$B99)),_xll.VoseSimPercentile(ProfitLocal,$B99),NA())</f>
        <v>1454.6055622434906</v>
      </c>
      <c r="G99" s="56" cm="1">
        <f t="array" aca="1" ref="G99" ca="1">IF(ISNUMBER(_xll.VoseSimPercentile(ProfitPilots,$B99)),_xll.VoseSimPercentile(ProfitPilots,$B99),NA())</f>
        <v>325.37103684965655</v>
      </c>
    </row>
    <row r="100" spans="2:7" hidden="1" outlineLevel="1" x14ac:dyDescent="0.45">
      <c r="B100" s="55">
        <v>0.91</v>
      </c>
      <c r="C100" s="55">
        <f t="shared" si="1"/>
        <v>8.9999999999999969E-2</v>
      </c>
      <c r="D100" s="56" cm="1">
        <f t="array" aca="1" ref="D100" ca="1">IF(ISNUMBER(_xll.VoseSimPercentile(Profit,$B100)),_xll.VoseSimPercentile(Profit,$B100),NA())</f>
        <v>6190.6396566035328</v>
      </c>
      <c r="E100" s="56" cm="1">
        <f t="array" aca="1" ref="E100" ca="1">IF(ISNUMBER(_xll.VoseSimPercentile(ProfitUS,$B100)),_xll.VoseSimPercentile(ProfitUS,$B100),NA())</f>
        <v>4635.4531832749071</v>
      </c>
      <c r="F100" s="56" cm="1">
        <f t="array" aca="1" ref="F100" ca="1">IF(ISNUMBER(_xll.VoseSimPercentile(ProfitLocal,$B100)),_xll.VoseSimPercentile(ProfitLocal,$B100),NA())</f>
        <v>1492.2315901476479</v>
      </c>
      <c r="G100" s="56" cm="1">
        <f t="array" aca="1" ref="G100" ca="1">IF(ISNUMBER(_xll.VoseSimPercentile(ProfitPilots,$B100)),_xll.VoseSimPercentile(ProfitPilots,$B100),NA())</f>
        <v>328.82635614100303</v>
      </c>
    </row>
    <row r="101" spans="2:7" hidden="1" outlineLevel="1" x14ac:dyDescent="0.45">
      <c r="B101" s="55">
        <v>0.93</v>
      </c>
      <c r="C101" s="55">
        <f t="shared" si="1"/>
        <v>6.9999999999999951E-2</v>
      </c>
      <c r="D101" s="56" cm="1">
        <f t="array" aca="1" ref="D101" ca="1">IF(ISNUMBER(_xll.VoseSimPercentile(Profit,$B101)),_xll.VoseSimPercentile(Profit,$B101),NA())</f>
        <v>6535.7973781196879</v>
      </c>
      <c r="E101" s="56" cm="1">
        <f t="array" aca="1" ref="E101" ca="1">IF(ISNUMBER(_xll.VoseSimPercentile(ProfitUS,$B101)),_xll.VoseSimPercentile(ProfitUS,$B101),NA())</f>
        <v>4945.2008671367521</v>
      </c>
      <c r="F101" s="56" cm="1">
        <f t="array" aca="1" ref="F101" ca="1">IF(ISNUMBER(_xll.VoseSimPercentile(ProfitLocal,$B101)),_xll.VoseSimPercentile(ProfitLocal,$B101),NA())</f>
        <v>1540.6070749400199</v>
      </c>
      <c r="G101" s="56" cm="1">
        <f t="array" aca="1" ref="G101" ca="1">IF(ISNUMBER(_xll.VoseSimPercentile(ProfitPilots,$B101)),_xll.VoseSimPercentile(ProfitPilots,$B101),NA())</f>
        <v>332.5363627573131</v>
      </c>
    </row>
    <row r="102" spans="2:7" hidden="1" outlineLevel="1" x14ac:dyDescent="0.45">
      <c r="B102" s="55">
        <v>0.95</v>
      </c>
      <c r="C102" s="55">
        <f t="shared" si="1"/>
        <v>5.0000000000000044E-2</v>
      </c>
      <c r="D102" s="56" cm="1">
        <f t="array" aca="1" ref="D102" ca="1">IF(ISNUMBER(_xll.VoseSimPercentile(Profit,$B102)),_xll.VoseSimPercentile(Profit,$B102),NA())</f>
        <v>6996.2977005052844</v>
      </c>
      <c r="E102" s="56" cm="1">
        <f t="array" aca="1" ref="E102" ca="1">IF(ISNUMBER(_xll.VoseSimPercentile(ProfitUS,$B102)),_xll.VoseSimPercentile(ProfitUS,$B102),NA())</f>
        <v>5400.3869310054233</v>
      </c>
      <c r="F102" s="56" cm="1">
        <f t="array" aca="1" ref="F102" ca="1">IF(ISNUMBER(_xll.VoseSimPercentile(ProfitLocal,$B102)),_xll.VoseSimPercentile(ProfitLocal,$B102),NA())</f>
        <v>1602.5165093914868</v>
      </c>
      <c r="G102" s="56" cm="1">
        <f t="array" aca="1" ref="G102" ca="1">IF(ISNUMBER(_xll.VoseSimPercentile(ProfitPilots,$B102)),_xll.VoseSimPercentile(ProfitPilots,$B102),NA())</f>
        <v>337.1621701235452</v>
      </c>
    </row>
    <row r="103" spans="2:7" hidden="1" outlineLevel="1" x14ac:dyDescent="0.45">
      <c r="B103" s="55">
        <v>0.97</v>
      </c>
      <c r="C103" s="55">
        <f t="shared" si="1"/>
        <v>3.0000000000000027E-2</v>
      </c>
      <c r="D103" s="56" cm="1">
        <f t="array" aca="1" ref="D103" ca="1">IF(ISNUMBER(_xll.VoseSimPercentile(Profit,$B103)),_xll.VoseSimPercentile(Profit,$B103),NA())</f>
        <v>7620.6520516230339</v>
      </c>
      <c r="E103" s="56" cm="1">
        <f t="array" aca="1" ref="E103" ca="1">IF(ISNUMBER(_xll.VoseSimPercentile(ProfitUS,$B103)),_xll.VoseSimPercentile(ProfitUS,$B103),NA())</f>
        <v>5947.7587135758913</v>
      </c>
      <c r="F103" s="56" cm="1">
        <f t="array" aca="1" ref="F103" ca="1">IF(ISNUMBER(_xll.VoseSimPercentile(ProfitLocal,$B103)),_xll.VoseSimPercentile(ProfitLocal,$B103),NA())</f>
        <v>1689.0104691539036</v>
      </c>
      <c r="G103" s="56" cm="1">
        <f t="array" aca="1" ref="G103" ca="1">IF(ISNUMBER(_xll.VoseSimPercentile(ProfitPilots,$B103)),_xll.VoseSimPercentile(ProfitPilots,$B103),NA())</f>
        <v>343.56593873057528</v>
      </c>
    </row>
    <row r="104" spans="2:7" hidden="1" outlineLevel="1" x14ac:dyDescent="0.45">
      <c r="B104" s="55">
        <v>0.99</v>
      </c>
      <c r="C104" s="55">
        <f t="shared" si="1"/>
        <v>1.0000000000000009E-2</v>
      </c>
      <c r="D104" s="56" cm="1">
        <f t="array" aca="1" ref="D104" ca="1">IF(ISNUMBER(_xll.VoseSimPercentile(Profit,$B104)),_xll.VoseSimPercentile(Profit,$B104),NA())</f>
        <v>8863.066801040206</v>
      </c>
      <c r="E104" s="56" cm="1">
        <f t="array" aca="1" ref="E104" ca="1">IF(ISNUMBER(_xll.VoseSimPercentile(ProfitUS,$B104)),_xll.VoseSimPercentile(ProfitUS,$B104),NA())</f>
        <v>7143.0234342138292</v>
      </c>
      <c r="F104" s="56" cm="1">
        <f t="array" aca="1" ref="F104" ca="1">IF(ISNUMBER(_xll.VoseSimPercentile(ProfitLocal,$B104)),_xll.VoseSimPercentile(ProfitLocal,$B104),NA())</f>
        <v>1886.8053376394412</v>
      </c>
      <c r="G104" s="56" cm="1">
        <f t="array" aca="1" ref="G104" ca="1">IF(ISNUMBER(_xll.VoseSimPercentile(ProfitPilots,$B104)),_xll.VoseSimPercentile(ProfitPilots,$B104),NA())</f>
        <v>356.38092364122764</v>
      </c>
    </row>
    <row r="105" spans="2:7" hidden="1" outlineLevel="1" x14ac:dyDescent="0.45"/>
    <row r="106" spans="2:7" hidden="1" outlineLevel="1" x14ac:dyDescent="0.45">
      <c r="B106" s="57" t="s">
        <v>233</v>
      </c>
      <c r="D106" s="58" cm="1">
        <f t="array" aca="1" ref="D106" ca="1">_xll.VoseSimMean(Profit)</f>
        <v>3562.095353492432</v>
      </c>
    </row>
    <row r="107" spans="2:7" ht="18" hidden="1" customHeight="1" outlineLevel="1" x14ac:dyDescent="0.45">
      <c r="B107" s="23" t="s">
        <v>234</v>
      </c>
      <c r="C107" s="5"/>
      <c r="D107" s="5"/>
      <c r="E107" s="5"/>
      <c r="F107" s="24" t="s">
        <v>235</v>
      </c>
      <c r="G107" s="24" t="s">
        <v>236</v>
      </c>
    </row>
    <row r="108" spans="2:7" hidden="1" outlineLevel="1" x14ac:dyDescent="0.45">
      <c r="B108" s="59" t="str">
        <f ca="1">B34</f>
        <v>Profit from US sales</v>
      </c>
      <c r="F108" s="60">
        <f ca="1">IFERROR(D34-$D$106,NA())</f>
        <v>3742.9727931522066</v>
      </c>
      <c r="G108" s="60">
        <f ca="1">IFERROR(C34-$D$106,NA())</f>
        <v>-2362.7242673579331</v>
      </c>
    </row>
    <row r="109" spans="2:7" hidden="1" outlineLevel="1" x14ac:dyDescent="0.45">
      <c r="B109" s="59" t="str">
        <f ca="1">B35</f>
        <v>Profit from local broadcasts</v>
      </c>
      <c r="F109" s="60">
        <f ca="1">IFERROR(D35-$D$106,NA())</f>
        <v>1796.2173135510238</v>
      </c>
      <c r="G109" s="60">
        <f ca="1">IFERROR(C35-$D$106,NA())</f>
        <v>-1593.026738672339</v>
      </c>
    </row>
    <row r="110" spans="2:7" hidden="1" outlineLevel="1" x14ac:dyDescent="0.45">
      <c r="B110" s="59" t="str">
        <f ca="1">B36</f>
        <v>Number of new pilots</v>
      </c>
      <c r="F110" s="60">
        <f ca="1">IFERROR(D36-$D$106,NA())</f>
        <v>403.12475239271407</v>
      </c>
      <c r="G110" s="60">
        <f ca="1">IFERROR(C36-$D$106,NA())</f>
        <v>-347.95656860851568</v>
      </c>
    </row>
    <row r="111" spans="2:7" hidden="1" outlineLevel="1" x14ac:dyDescent="0.45">
      <c r="B111" s="59" t="str">
        <f ca="1">B37</f>
        <v>Profit from pilots</v>
      </c>
      <c r="F111" s="60">
        <f ca="1">IFERROR(D37-$D$106,NA())</f>
        <v>339.08471859906331</v>
      </c>
      <c r="G111" s="60">
        <f ca="1">IFERROR(C37-$D$106,NA())</f>
        <v>-257.78335401717641</v>
      </c>
    </row>
  </sheetData>
  <mergeCells count="4">
    <mergeCell ref="B47:G47"/>
    <mergeCell ref="B49:G49"/>
    <mergeCell ref="B48:G48"/>
    <mergeCell ref="B46:G46"/>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5:G104">
    <cfRule type="expression" dxfId="1" priority="3">
      <formula>ISNA(D55)</formula>
    </cfRule>
  </conditionalFormatting>
  <conditionalFormatting sqref="F108:G111">
    <cfRule type="expression" dxfId="0" priority="4">
      <formula>ISNA(F108)</formula>
    </cfRule>
  </conditionalFormatting>
  <hyperlinks>
    <hyperlink ref="B4" location="'Slate'!A1" display="◂  Slate"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3DB1F-08B2-46E6-99CC-653EAA64139A}">
  <dimension ref="A1:B1"/>
  <sheetViews>
    <sheetView workbookViewId="0"/>
  </sheetViews>
  <sheetFormatPr defaultRowHeight="14.25" x14ac:dyDescent="0.45"/>
  <sheetData>
    <row r="1" spans="1:2" x14ac:dyDescent="0.45">
      <c r="A1" s="65" t="s">
        <v>237</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104A5-E4E8-4554-9D89-D667CBB55D6C}">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DE306-68ED-4AF2-92CC-8A1659E7ADDB}">
  <dimension ref="B3:B52"/>
  <sheetViews>
    <sheetView workbookViewId="0"/>
  </sheetViews>
  <sheetFormatPr defaultRowHeight="14.25" x14ac:dyDescent="0.45"/>
  <sheetData>
    <row r="3" spans="2:2" x14ac:dyDescent="0.45">
      <c r="B3">
        <v>171</v>
      </c>
    </row>
    <row r="4" spans="2:2" x14ac:dyDescent="0.45">
      <c r="B4">
        <v>240</v>
      </c>
    </row>
    <row r="5" spans="2:2" x14ac:dyDescent="0.45">
      <c r="B5">
        <v>288</v>
      </c>
    </row>
    <row r="6" spans="2:2" x14ac:dyDescent="0.45">
      <c r="B6">
        <v>309</v>
      </c>
    </row>
    <row r="7" spans="2:2" x14ac:dyDescent="0.45">
      <c r="B7">
        <v>306</v>
      </c>
    </row>
    <row r="8" spans="2:2" x14ac:dyDescent="0.45">
      <c r="B8">
        <v>257</v>
      </c>
    </row>
    <row r="9" spans="2:2" x14ac:dyDescent="0.45">
      <c r="B9">
        <v>205</v>
      </c>
    </row>
    <row r="10" spans="2:2" x14ac:dyDescent="0.45">
      <c r="B10">
        <v>132</v>
      </c>
    </row>
    <row r="11" spans="2:2" x14ac:dyDescent="0.45">
      <c r="B11">
        <v>76</v>
      </c>
    </row>
    <row r="12" spans="2:2" x14ac:dyDescent="0.45">
      <c r="B12">
        <v>16</v>
      </c>
    </row>
    <row r="13" spans="2:2" x14ac:dyDescent="0.45">
      <c r="B13">
        <v>8</v>
      </c>
    </row>
    <row r="14" spans="2:2" x14ac:dyDescent="0.45">
      <c r="B14">
        <v>32</v>
      </c>
    </row>
    <row r="15" spans="2:2" x14ac:dyDescent="0.45">
      <c r="B15">
        <v>196</v>
      </c>
    </row>
    <row r="16" spans="2:2" x14ac:dyDescent="0.45">
      <c r="B16">
        <v>431</v>
      </c>
    </row>
    <row r="17" spans="2:2" x14ac:dyDescent="0.45">
      <c r="B17">
        <v>506</v>
      </c>
    </row>
    <row r="18" spans="2:2" x14ac:dyDescent="0.45">
      <c r="B18">
        <v>438</v>
      </c>
    </row>
    <row r="19" spans="2:2" x14ac:dyDescent="0.45">
      <c r="B19">
        <v>275</v>
      </c>
    </row>
    <row r="20" spans="2:2" x14ac:dyDescent="0.45">
      <c r="B20">
        <v>87</v>
      </c>
    </row>
    <row r="21" spans="2:2" x14ac:dyDescent="0.45">
      <c r="B21">
        <v>23</v>
      </c>
    </row>
    <row r="22" spans="2:2" x14ac:dyDescent="0.45">
      <c r="B22">
        <v>4</v>
      </c>
    </row>
    <row r="23" spans="2:2" x14ac:dyDescent="0.45">
      <c r="B23">
        <v>21</v>
      </c>
    </row>
    <row r="24" spans="2:2" x14ac:dyDescent="0.45">
      <c r="B24">
        <v>110</v>
      </c>
    </row>
    <row r="25" spans="2:2" x14ac:dyDescent="0.45">
      <c r="B25">
        <v>330</v>
      </c>
    </row>
    <row r="26" spans="2:2" x14ac:dyDescent="0.45">
      <c r="B26">
        <v>536</v>
      </c>
    </row>
    <row r="27" spans="2:2" x14ac:dyDescent="0.45">
      <c r="B27">
        <v>481</v>
      </c>
    </row>
    <row r="28" spans="2:2" x14ac:dyDescent="0.45">
      <c r="B28">
        <v>305</v>
      </c>
    </row>
    <row r="29" spans="2:2" x14ac:dyDescent="0.45">
      <c r="B29">
        <v>145</v>
      </c>
    </row>
    <row r="30" spans="2:2" x14ac:dyDescent="0.45">
      <c r="B30">
        <v>53</v>
      </c>
    </row>
    <row r="31" spans="2:2" x14ac:dyDescent="0.45">
      <c r="B31">
        <v>14</v>
      </c>
    </row>
    <row r="32" spans="2:2" x14ac:dyDescent="0.45">
      <c r="B32">
        <v>5</v>
      </c>
    </row>
    <row r="33" spans="2:2" x14ac:dyDescent="0.45">
      <c r="B33">
        <v>549</v>
      </c>
    </row>
    <row r="34" spans="2:2" x14ac:dyDescent="0.45">
      <c r="B34">
        <v>504</v>
      </c>
    </row>
    <row r="35" spans="2:2" x14ac:dyDescent="0.45">
      <c r="B35">
        <v>397</v>
      </c>
    </row>
    <row r="36" spans="2:2" x14ac:dyDescent="0.45">
      <c r="B36">
        <v>279</v>
      </c>
    </row>
    <row r="37" spans="2:2" x14ac:dyDescent="0.45">
      <c r="B37">
        <v>144</v>
      </c>
    </row>
    <row r="38" spans="2:2" x14ac:dyDescent="0.45">
      <c r="B38">
        <v>85</v>
      </c>
    </row>
    <row r="39" spans="2:2" x14ac:dyDescent="0.45">
      <c r="B39">
        <v>29</v>
      </c>
    </row>
    <row r="40" spans="2:2" x14ac:dyDescent="0.45">
      <c r="B40">
        <v>7</v>
      </c>
    </row>
    <row r="41" spans="2:2" x14ac:dyDescent="0.45">
      <c r="B41">
        <v>5</v>
      </c>
    </row>
    <row r="42" spans="2:2" x14ac:dyDescent="0.45">
      <c r="B42">
        <v>1</v>
      </c>
    </row>
    <row r="43" spans="2:2" x14ac:dyDescent="0.45">
      <c r="B43">
        <v>323</v>
      </c>
    </row>
    <row r="44" spans="2:2" x14ac:dyDescent="0.45">
      <c r="B44">
        <v>529</v>
      </c>
    </row>
    <row r="45" spans="2:2" x14ac:dyDescent="0.45">
      <c r="B45">
        <v>497</v>
      </c>
    </row>
    <row r="46" spans="2:2" x14ac:dyDescent="0.45">
      <c r="B46">
        <v>328</v>
      </c>
    </row>
    <row r="47" spans="2:2" x14ac:dyDescent="0.45">
      <c r="B47">
        <v>182</v>
      </c>
    </row>
    <row r="48" spans="2:2" x14ac:dyDescent="0.45">
      <c r="B48">
        <v>99</v>
      </c>
    </row>
    <row r="49" spans="2:2" x14ac:dyDescent="0.45">
      <c r="B49">
        <v>27</v>
      </c>
    </row>
    <row r="50" spans="2:2" x14ac:dyDescent="0.45">
      <c r="B50">
        <v>9</v>
      </c>
    </row>
    <row r="51" spans="2:2" x14ac:dyDescent="0.45">
      <c r="B51">
        <v>5</v>
      </c>
    </row>
    <row r="52" spans="2:2" x14ac:dyDescent="0.45">
      <c r="B5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70ABCB07-D1EC-4487-8CCC-D355A672D31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55</vt:i4>
      </vt:variant>
    </vt:vector>
  </HeadingPairs>
  <TitlesOfParts>
    <vt:vector size="62" baseType="lpstr">
      <vt:lpstr>About</vt:lpstr>
      <vt:lpstr>Inputs</vt:lpstr>
      <vt:lpstr>Slate</vt:lpstr>
      <vt:lpstr>Results</vt:lpstr>
      <vt:lpstr>ModelRiskDSN</vt:lpstr>
      <vt:lpstr>ModelRiskSYS1</vt:lpstr>
      <vt:lpstr>ModelRiskCharts</vt:lpstr>
      <vt:lpstr>Checks</vt:lpstr>
      <vt:lpstr>InputMeans</vt:lpstr>
      <vt:lpstr>LocalOnly</vt:lpstr>
      <vt:lpstr>MarLocal_Hi</vt:lpstr>
      <vt:lpstr>MarLocal_Lo</vt:lpstr>
      <vt:lpstr>MarLocal_Mean</vt:lpstr>
      <vt:lpstr>MarLocal_ML</vt:lpstr>
      <vt:lpstr>MarPilot_Hi</vt:lpstr>
      <vt:lpstr>MarPilot_Lo</vt:lpstr>
      <vt:lpstr>MarPilot_Mean</vt:lpstr>
      <vt:lpstr>MarPilot_ML</vt:lpstr>
      <vt:lpstr>MarUS_Hi</vt:lpstr>
      <vt:lpstr>MarUS_Lo</vt:lpstr>
      <vt:lpstr>MarUS_Mean</vt:lpstr>
      <vt:lpstr>MarUS_ML</vt:lpstr>
      <vt:lpstr>NoUS</vt:lpstr>
      <vt:lpstr>ObjMarLocal</vt:lpstr>
      <vt:lpstr>ObjMarPilot</vt:lpstr>
      <vt:lpstr>ObjMarUS</vt:lpstr>
      <vt:lpstr>ObjRevLocal</vt:lpstr>
      <vt:lpstr>ObjRevPilot</vt:lpstr>
      <vt:lpstr>ObjRevUS</vt:lpstr>
      <vt:lpstr>Pilots</vt:lpstr>
      <vt:lpstr>Pilots_Hi</vt:lpstr>
      <vt:lpstr>Pilots_Lo</vt:lpstr>
      <vt:lpstr>Pilots_ML</vt:lpstr>
      <vt:lpstr>PilotsMade</vt:lpstr>
      <vt:lpstr>Results!Print_Area</vt:lpstr>
      <vt:lpstr>Inputs!Print_Titles</vt:lpstr>
      <vt:lpstr>Results!Print_Titles</vt:lpstr>
      <vt:lpstr>Profit</vt:lpstr>
      <vt:lpstr>ProfitLocal</vt:lpstr>
      <vt:lpstr>ProfitNoUS</vt:lpstr>
      <vt:lpstr>ProfitPilots</vt:lpstr>
      <vt:lpstr>ProfitUS</vt:lpstr>
      <vt:lpstr>PSeries</vt:lpstr>
      <vt:lpstr>PUS</vt:lpstr>
      <vt:lpstr>RevLocal_Hi</vt:lpstr>
      <vt:lpstr>RevLocal_Lo</vt:lpstr>
      <vt:lpstr>RevLocal_Mean</vt:lpstr>
      <vt:lpstr>RevLocal_ML</vt:lpstr>
      <vt:lpstr>RevPilot_Hi</vt:lpstr>
      <vt:lpstr>RevPilot_Lo</vt:lpstr>
      <vt:lpstr>RevPilot_Mean</vt:lpstr>
      <vt:lpstr>RevPilot_ML</vt:lpstr>
      <vt:lpstr>RevUS_Hi</vt:lpstr>
      <vt:lpstr>RevUS_Lo</vt:lpstr>
      <vt:lpstr>RevUS_Mean</vt:lpstr>
      <vt:lpstr>RevUS_ML</vt:lpstr>
      <vt:lpstr>SeasonsLocal</vt:lpstr>
      <vt:lpstr>SeasonsMean</vt:lpstr>
      <vt:lpstr>SeasonsObj</vt:lpstr>
      <vt:lpstr>SeasonsUS</vt:lpstr>
      <vt:lpstr>Series</vt:lpstr>
      <vt:lpstr>USSeries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GU-05 Profits from Expanding Investments (TV Series)</dc:title>
  <dc:subject>ModelRisk industry example library — General use</dc:subject>
  <dc:creator>Vose Software</dc:creator>
  <cp:keywords>ModelRisk; Monte Carlo; General use</cp:keywords>
  <dc:description>Pilots, series and US sales as a chain of random counts: how a few successes pay for the whole slate.</dc:description>
  <cp:lastModifiedBy>Timour Koupeev</cp:lastModifiedBy>
  <cp:lastPrinted>2026-10-07T12:57:54Z</cp:lastPrinted>
  <dcterms:created xsi:type="dcterms:W3CDTF">2026-10-07T12:55:28Z</dcterms:created>
  <dcterms:modified xsi:type="dcterms:W3CDTF">2026-10-07T12:57:56Z</dcterms:modified>
</cp:coreProperties>
</file>