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D1A58E05-55D8-4909-AAF5-513FFA984ACE}"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Schedule" sheetId="3" r:id="rId3"/>
    <sheet name="Results" sheetId="4" r:id="rId4"/>
    <sheet name="ModelRiskDSN" sheetId="5" state="hidden" r:id="rId5"/>
    <sheet name="ModelRiskSYS1" sheetId="6" state="hidden" r:id="rId6"/>
    <sheet name="ModelRiskCharts" sheetId="7" state="hidden" r:id="rId7"/>
  </sheets>
  <definedNames>
    <definedName name="ByPlan">Schedule!$E$52</definedName>
    <definedName name="Checks">Schedule!$E$60:$E$63</definedName>
    <definedName name="ContractDate">Inputs!$D$12</definedName>
    <definedName name="ContractWeeks">Schedule!$E$51</definedName>
    <definedName name="Crit_Equip">Schedule!$E$56</definedName>
    <definedName name="Crit_Roof">Schedule!$E$54</definedName>
    <definedName name="Crit_Util">Schedule!$E$55</definedName>
    <definedName name="Delay_R1">Schedule!$L$41</definedName>
    <definedName name="Delay_R2">Schedule!$L$42</definedName>
    <definedName name="Delay_R3">Schedule!$L$43</definedName>
    <definedName name="Fin_G">Schedule!$K$16</definedName>
    <definedName name="Fin_J">Schedule!$K$19</definedName>
    <definedName name="Fin_M">Schedule!$K$22</definedName>
    <definedName name="Fin_P">Schedule!$K$25</definedName>
    <definedName name="Finish">Schedule!$E$48</definedName>
    <definedName name="FinishDate">Schedule!$E$49</definedName>
    <definedName name="H_Dur">Schedule!$H$35</definedName>
    <definedName name="H_PlanML">Schedule!$F$31</definedName>
    <definedName name="H_Way">Schedule!$D$34</definedName>
    <definedName name="Hap_R1">Schedule!$K$41</definedName>
    <definedName name="Hap_R2">Schedule!$K$42</definedName>
    <definedName name="Hap_R3">Schedule!$K$43</definedName>
    <definedName name="OnTime">Schedule!$E$53</definedName>
    <definedName name="Plan_P">Schedule!$N$25</definedName>
    <definedName name="PlanFinish">Schedule!$E$50</definedName>
    <definedName name="_xlnm.Print_Area" localSheetId="3">Results!$A$1:$R$57</definedName>
    <definedName name="_xlnm.Print_Titles" localSheetId="1">Inputs!$1:$4</definedName>
    <definedName name="_xlnm.Print_Titles" localSheetId="3">Results!$1:$4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rtDate">Inputs!$D$11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2" i="4" l="1"/>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E63" i="3"/>
  <c r="E62" i="3"/>
  <c r="E61" i="3"/>
  <c r="E60" i="3"/>
  <c r="B7" i="4" s="1"/>
  <c r="E51" i="3"/>
  <c r="D15" i="4" s="1"/>
  <c r="J42" i="3"/>
  <c r="J41" i="3"/>
  <c r="M10" i="3"/>
  <c r="N10" i="3"/>
  <c r="M11" i="3" s="1"/>
  <c r="N11" i="3" s="1"/>
  <c r="J10" i="3"/>
  <c r="M13" i="3"/>
  <c r="N13" i="3"/>
  <c r="F110" i="4"/>
  <c r="F75" i="4"/>
  <c r="F91" i="4"/>
  <c r="F107" i="4"/>
  <c r="H20" i="3" a="1"/>
  <c r="H19" i="3" a="1"/>
  <c r="H15" i="3" a="1"/>
  <c r="K42" i="3" a="1"/>
  <c r="H18" i="3" a="1"/>
  <c r="H24" i="3" a="1"/>
  <c r="H16" i="3" a="1"/>
  <c r="H11" i="3" a="1"/>
  <c r="H14" i="3" a="1"/>
  <c r="H31" i="3" a="1"/>
  <c r="H25" i="3" a="1"/>
  <c r="H10" i="3" a="1"/>
  <c r="H33" i="3" a="1"/>
  <c r="H32" i="3" a="1"/>
  <c r="H21" i="3" a="1"/>
  <c r="H12" i="3" a="1"/>
  <c r="H22" i="3" a="1"/>
  <c r="H13" i="3" a="1"/>
  <c r="K41" i="3" a="1"/>
  <c r="D34" i="3" a="1"/>
  <c r="H23" i="3" a="1"/>
  <c r="F94" i="4" l="1"/>
  <c r="F78" i="4"/>
  <c r="F89" i="4"/>
  <c r="F73" i="4"/>
  <c r="F92" i="4"/>
  <c r="F76" i="4"/>
  <c r="F71" i="4"/>
  <c r="F103" i="4"/>
  <c r="F90" i="4"/>
  <c r="F67" i="4"/>
  <c r="F86" i="4"/>
  <c r="F68" i="4"/>
  <c r="F105" i="4"/>
  <c r="F108" i="4"/>
  <c r="F87" i="4"/>
  <c r="F106" i="4"/>
  <c r="F74" i="4"/>
  <c r="F101" i="4"/>
  <c r="F85" i="4"/>
  <c r="F69" i="4"/>
  <c r="F104" i="4"/>
  <c r="F88" i="4"/>
  <c r="F72" i="4"/>
  <c r="F83" i="4"/>
  <c r="F102" i="4"/>
  <c r="F70" i="4"/>
  <c r="F97" i="4"/>
  <c r="F65" i="4"/>
  <c r="F84" i="4"/>
  <c r="F111" i="4"/>
  <c r="F95" i="4"/>
  <c r="F79" i="4"/>
  <c r="F63" i="4"/>
  <c r="F98" i="4"/>
  <c r="F82" i="4"/>
  <c r="F66" i="4"/>
  <c r="F99" i="4"/>
  <c r="F81" i="4"/>
  <c r="F100" i="4"/>
  <c r="F109" i="4"/>
  <c r="F93" i="4"/>
  <c r="F77" i="4"/>
  <c r="F112" i="4"/>
  <c r="F96" i="4"/>
  <c r="F80" i="4"/>
  <c r="F64" i="4"/>
  <c r="H23" i="3"/>
  <c r="D34" i="3"/>
  <c r="K41" i="3"/>
  <c r="H13" i="3"/>
  <c r="H22" i="3"/>
  <c r="H12" i="3"/>
  <c r="H21" i="3"/>
  <c r="H32" i="3"/>
  <c r="H33" i="3"/>
  <c r="H10" i="3"/>
  <c r="K10" i="3" s="1"/>
  <c r="H25" i="3"/>
  <c r="H31" i="3"/>
  <c r="H14" i="3"/>
  <c r="H11" i="3"/>
  <c r="H16" i="3"/>
  <c r="H24" i="3"/>
  <c r="H18" i="3"/>
  <c r="K42" i="3"/>
  <c r="H15" i="3"/>
  <c r="H19" i="3"/>
  <c r="H20" i="3"/>
  <c r="M12" i="3"/>
  <c r="N12" i="3" s="1"/>
  <c r="M17" i="3" s="1"/>
  <c r="N17" i="3" s="1"/>
  <c r="M18" i="3" s="1"/>
  <c r="N18" i="3" s="1"/>
  <c r="M19" i="3" s="1"/>
  <c r="N19" i="3" s="1"/>
  <c r="E35" i="4" a="1"/>
  <c r="E36" i="4" a="1"/>
  <c r="L42" i="3" a="1"/>
  <c r="E36" i="4" l="1"/>
  <c r="E35" i="4"/>
  <c r="L42" i="3"/>
  <c r="J11" i="3"/>
  <c r="K11" i="3" s="1"/>
  <c r="L10" i="3"/>
  <c r="J12" i="3"/>
  <c r="K12" i="3" s="1"/>
  <c r="L12" i="3" s="1"/>
  <c r="J13" i="3"/>
  <c r="K13" i="3" s="1"/>
  <c r="L13" i="3" s="1"/>
  <c r="M20" i="3"/>
  <c r="N20" i="3" s="1"/>
  <c r="M21" i="3" s="1"/>
  <c r="N21" i="3" s="1"/>
  <c r="M22" i="3" s="1"/>
  <c r="N22" i="3" s="1"/>
  <c r="M14" i="3"/>
  <c r="N14" i="3" s="1"/>
  <c r="M15" i="3" s="1"/>
  <c r="N15" i="3" s="1"/>
  <c r="M16" i="3" s="1"/>
  <c r="N16" i="3" s="1"/>
  <c r="J43" i="3"/>
  <c r="H35" i="3" a="1"/>
  <c r="H35" i="3" s="1"/>
  <c r="H17" i="3" s="1" a="1"/>
  <c r="H17" i="3" s="1"/>
  <c r="F36" i="4" a="1"/>
  <c r="L41" i="3" a="1"/>
  <c r="K43" i="3" a="1"/>
  <c r="F36" i="4" l="1"/>
  <c r="I19" i="3"/>
  <c r="K43" i="3"/>
  <c r="L41" i="3"/>
  <c r="L11" i="3"/>
  <c r="J17" i="3"/>
  <c r="K17" i="3" s="1"/>
  <c r="J20" i="3"/>
  <c r="K20" i="3" s="1"/>
  <c r="J14" i="3"/>
  <c r="K14" i="3" s="1"/>
  <c r="M24" i="3"/>
  <c r="N24" i="3" s="1"/>
  <c r="M23" i="3"/>
  <c r="N23" i="3" s="1"/>
  <c r="F35" i="4" a="1"/>
  <c r="E37" i="4" a="1"/>
  <c r="L43" i="3" a="1"/>
  <c r="M25" i="3" l="1"/>
  <c r="N25" i="3" s="1"/>
  <c r="E50" i="3" s="1"/>
  <c r="E37" i="4"/>
  <c r="F35" i="4"/>
  <c r="I16" i="3"/>
  <c r="L43" i="3"/>
  <c r="L14" i="3"/>
  <c r="J15" i="3"/>
  <c r="K15" i="3" s="1"/>
  <c r="L20" i="3"/>
  <c r="J21" i="3"/>
  <c r="K21" i="3" s="1"/>
  <c r="L17" i="3"/>
  <c r="J18" i="3"/>
  <c r="K18" i="3" s="1"/>
  <c r="F37" i="4" a="1"/>
  <c r="E100" i="4" l="1"/>
  <c r="E84" i="4"/>
  <c r="E68" i="4"/>
  <c r="E103" i="4"/>
  <c r="E87" i="4"/>
  <c r="E71" i="4"/>
  <c r="E112" i="4"/>
  <c r="E64" i="4"/>
  <c r="E83" i="4"/>
  <c r="E81" i="4"/>
  <c r="E92" i="4"/>
  <c r="E63" i="4"/>
  <c r="E98" i="4"/>
  <c r="E82" i="4"/>
  <c r="E66" i="4"/>
  <c r="E101" i="4"/>
  <c r="E85" i="4"/>
  <c r="E69" i="4"/>
  <c r="E96" i="4"/>
  <c r="E99" i="4"/>
  <c r="E67" i="4"/>
  <c r="E94" i="4"/>
  <c r="E97" i="4"/>
  <c r="E65" i="4"/>
  <c r="E108" i="4"/>
  <c r="E111" i="4"/>
  <c r="E95" i="4"/>
  <c r="E79" i="4"/>
  <c r="E106" i="4"/>
  <c r="E90" i="4"/>
  <c r="E93" i="4"/>
  <c r="E88" i="4"/>
  <c r="E107" i="4"/>
  <c r="E75" i="4"/>
  <c r="E86" i="4"/>
  <c r="E105" i="4"/>
  <c r="E73" i="4"/>
  <c r="E80" i="4"/>
  <c r="E110" i="4"/>
  <c r="D12" i="4"/>
  <c r="E109" i="4"/>
  <c r="E77" i="4"/>
  <c r="E78" i="4"/>
  <c r="E76" i="4"/>
  <c r="E74" i="4"/>
  <c r="E104" i="4"/>
  <c r="E72" i="4"/>
  <c r="E91" i="4"/>
  <c r="E102" i="4"/>
  <c r="E70" i="4"/>
  <c r="E89" i="4"/>
  <c r="F37" i="4"/>
  <c r="I22" i="3"/>
  <c r="J19" i="3"/>
  <c r="K19" i="3" s="1"/>
  <c r="L18" i="3"/>
  <c r="L21" i="3"/>
  <c r="J22" i="3"/>
  <c r="L15" i="3"/>
  <c r="J16" i="3"/>
  <c r="K16" i="3" s="1"/>
  <c r="K22" i="3" l="1"/>
  <c r="J23" i="3" s="1"/>
  <c r="K23" i="3" s="1"/>
  <c r="L16" i="3"/>
  <c r="L19" i="3"/>
  <c r="E55" i="3"/>
  <c r="D28" i="4" a="1"/>
  <c r="L22" i="3" l="1"/>
  <c r="E56" i="3"/>
  <c r="J24" i="3"/>
  <c r="K24" i="3" s="1"/>
  <c r="L24" i="3" s="1"/>
  <c r="E54" i="3"/>
  <c r="D28" i="4"/>
  <c r="L23" i="3"/>
  <c r="J25" i="3"/>
  <c r="K25" i="3" s="1"/>
  <c r="D29" i="4" a="1"/>
  <c r="D27" i="4" a="1"/>
  <c r="D27" i="4" l="1"/>
  <c r="D29" i="4"/>
  <c r="L25" i="3"/>
  <c r="E48" i="3" a="1"/>
  <c r="E48" i="3" s="1"/>
  <c r="D66" i="4" a="1"/>
  <c r="D78" i="4" a="1"/>
  <c r="D101" i="4" a="1"/>
  <c r="D74" i="4" a="1"/>
  <c r="D83" i="4" a="1"/>
  <c r="D80" i="4" a="1"/>
  <c r="D95" i="4" a="1"/>
  <c r="D111" i="4" a="1"/>
  <c r="F21" i="4" a="1"/>
  <c r="D106" i="4" a="1"/>
  <c r="D65" i="4" a="1"/>
  <c r="E21" i="4" a="1"/>
  <c r="D82" i="4" a="1"/>
  <c r="D96" i="4" a="1"/>
  <c r="D110" i="4" a="1"/>
  <c r="D73" i="4" a="1"/>
  <c r="D105" i="4" a="1"/>
  <c r="D76" i="4" a="1"/>
  <c r="D85" i="4" a="1"/>
  <c r="D86" i="4" a="1"/>
  <c r="D112" i="4" a="1"/>
  <c r="D89" i="4" a="1"/>
  <c r="D98" i="4" a="1"/>
  <c r="D107" i="4" a="1"/>
  <c r="D13" i="4" a="1"/>
  <c r="D70" i="4" a="1"/>
  <c r="D90" i="4" a="1"/>
  <c r="D69" i="4" a="1"/>
  <c r="D63" i="4" a="1"/>
  <c r="D64" i="4" a="1"/>
  <c r="D94" i="4" a="1"/>
  <c r="D75" i="4" a="1"/>
  <c r="D68" i="4" a="1"/>
  <c r="D100" i="4" a="1"/>
  <c r="B6" i="4" a="1"/>
  <c r="D102" i="4" a="1"/>
  <c r="D77" i="4" a="1"/>
  <c r="D109" i="4" a="1"/>
  <c r="D91" i="4" a="1"/>
  <c r="D108" i="4" a="1"/>
  <c r="D79" i="4" a="1"/>
  <c r="D99" i="4" a="1"/>
  <c r="D103" i="4" a="1"/>
  <c r="D84" i="4" a="1"/>
  <c r="D93" i="4" a="1"/>
  <c r="D88" i="4" a="1"/>
  <c r="D97" i="4" a="1"/>
  <c r="D21" i="4" a="1"/>
  <c r="D92" i="4" a="1"/>
  <c r="B41" i="4" a="1"/>
  <c r="D87" i="4" a="1"/>
  <c r="D72" i="4" a="1"/>
  <c r="D104" i="4" a="1"/>
  <c r="D71" i="4" a="1"/>
  <c r="D67" i="4" a="1"/>
  <c r="D81" i="4" a="1"/>
  <c r="D114" i="4" a="1"/>
  <c r="D30" i="4" l="1"/>
  <c r="D114" i="4"/>
  <c r="D81" i="4"/>
  <c r="D67" i="4"/>
  <c r="D71" i="4"/>
  <c r="D104" i="4"/>
  <c r="D72" i="4"/>
  <c r="D87" i="4"/>
  <c r="D42" i="4"/>
  <c r="F117" i="4" s="1"/>
  <c r="B48" i="4"/>
  <c r="B123" i="4" s="1"/>
  <c r="E49" i="4"/>
  <c r="D43" i="4"/>
  <c r="F118" i="4" s="1"/>
  <c r="E48" i="4"/>
  <c r="E43" i="4"/>
  <c r="D50" i="4"/>
  <c r="F125" i="4" s="1"/>
  <c r="B44" i="4"/>
  <c r="B119" i="4" s="1"/>
  <c r="C45" i="4"/>
  <c r="G120" i="4" s="1"/>
  <c r="B41" i="4"/>
  <c r="B116" i="4" s="1"/>
  <c r="C42" i="4"/>
  <c r="C43" i="4"/>
  <c r="G118" i="4" s="1"/>
  <c r="B43" i="4"/>
  <c r="B118" i="4" s="1"/>
  <c r="D44" i="4"/>
  <c r="F119" i="4" s="1"/>
  <c r="B49" i="4"/>
  <c r="B124" i="4" s="1"/>
  <c r="E50" i="4"/>
  <c r="C50" i="4"/>
  <c r="G125" i="4" s="1"/>
  <c r="E47" i="4"/>
  <c r="D41" i="4"/>
  <c r="B47" i="4"/>
  <c r="B122" i="4" s="1"/>
  <c r="E46" i="4"/>
  <c r="B46" i="4"/>
  <c r="B121" i="4" s="1"/>
  <c r="E45" i="4"/>
  <c r="C49" i="4"/>
  <c r="G124" i="4" s="1"/>
  <c r="E44" i="4"/>
  <c r="E42" i="4"/>
  <c r="C44" i="4"/>
  <c r="D49" i="4"/>
  <c r="F124" i="4" s="1"/>
  <c r="D46" i="4"/>
  <c r="F121" i="4" s="1"/>
  <c r="B50" i="4"/>
  <c r="B125" i="4" s="1"/>
  <c r="B42" i="4"/>
  <c r="B117" i="4" s="1"/>
  <c r="D47" i="4"/>
  <c r="F122" i="4" s="1"/>
  <c r="C41" i="4"/>
  <c r="G116" i="4" s="1"/>
  <c r="D45" i="4"/>
  <c r="F120" i="4" s="1"/>
  <c r="C48" i="4"/>
  <c r="C46" i="4"/>
  <c r="G121" i="4" s="1"/>
  <c r="C47" i="4"/>
  <c r="G122" i="4" s="1"/>
  <c r="B45" i="4"/>
  <c r="B120" i="4" s="1"/>
  <c r="E41" i="4"/>
  <c r="D48" i="4"/>
  <c r="F123" i="4" s="1"/>
  <c r="D92" i="4"/>
  <c r="D21" i="4"/>
  <c r="D22" i="4" s="1"/>
  <c r="D97" i="4"/>
  <c r="D88" i="4"/>
  <c r="D93" i="4"/>
  <c r="D84" i="4"/>
  <c r="D103" i="4"/>
  <c r="D99" i="4"/>
  <c r="D79" i="4"/>
  <c r="D108" i="4"/>
  <c r="D91" i="4"/>
  <c r="D109" i="4"/>
  <c r="D77" i="4"/>
  <c r="D102" i="4"/>
  <c r="B6" i="4"/>
  <c r="D100" i="4"/>
  <c r="D68" i="4"/>
  <c r="D75" i="4"/>
  <c r="D94" i="4"/>
  <c r="D64" i="4"/>
  <c r="D63" i="4"/>
  <c r="D69" i="4"/>
  <c r="D90" i="4"/>
  <c r="D70" i="4"/>
  <c r="D13" i="4"/>
  <c r="D107" i="4"/>
  <c r="D98" i="4"/>
  <c r="D89" i="4"/>
  <c r="D112" i="4"/>
  <c r="D86" i="4"/>
  <c r="D85" i="4"/>
  <c r="D76" i="4"/>
  <c r="D105" i="4"/>
  <c r="D73" i="4"/>
  <c r="D110" i="4"/>
  <c r="D96" i="4"/>
  <c r="D82" i="4"/>
  <c r="E21" i="4"/>
  <c r="E22" i="4" s="1"/>
  <c r="D65" i="4"/>
  <c r="D106" i="4"/>
  <c r="F21" i="4"/>
  <c r="F22" i="4" s="1"/>
  <c r="D111" i="4"/>
  <c r="D95" i="4"/>
  <c r="D80" i="4"/>
  <c r="D83" i="4"/>
  <c r="D74" i="4"/>
  <c r="D101" i="4"/>
  <c r="D78" i="4"/>
  <c r="D66" i="4"/>
  <c r="E49" i="3"/>
  <c r="E53" i="3"/>
  <c r="E52" i="3"/>
  <c r="D16" i="4" a="1"/>
  <c r="D14" i="4" a="1"/>
  <c r="G123" i="4" l="1"/>
  <c r="G119" i="4"/>
  <c r="F116" i="4"/>
  <c r="G117" i="4"/>
  <c r="D14" i="4"/>
  <c r="D16"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<sst xmlns="http://schemas.openxmlformats.org/spreadsheetml/2006/main" count="351" uniqueCount="285">
  <si>
    <t>Simple Project Schedule with Risks</t>
  </si>
  <si>
    <t>ModelRisk example  ·  General use  ·  GU-04</t>
  </si>
  <si>
    <t>Why does a project built from most-likely durations finish late?  Sixteen activities, three paths, three risks.</t>
  </si>
  <si>
    <t>Next:  Inputs  ▸</t>
  </si>
  <si>
    <t>Model card</t>
  </si>
  <si>
    <t>Industry</t>
  </si>
  <si>
    <t>General use</t>
  </si>
  <si>
    <t>Difficulty</t>
  </si>
  <si>
    <t>★★☆☆☆   A small network of activities with uncertain durations, parallel paths, risk events and alternative ways of working.</t>
  </si>
  <si>
    <t>Business question</t>
  </si>
  <si>
    <t>A factory building has sixteen activities on three parallel paths and three risks that can delay them. The plan, built from each activity's most likely duration, finishes in week 68. How likely is that, when will the project really finish, and how likely is it to meet the contract date?</t>
  </si>
  <si>
    <t>Who it is for</t>
  </si>
  <si>
    <t>Project planners and managers who build schedules from single-point estimates, and anyone new to schedule risk analysis.</t>
  </si>
  <si>
    <t>Main outputs</t>
  </si>
  <si>
    <t>The finish week and date at P50 / P80 / P90 · the chance of meeting the plan and the contract date · how often each path is critical · how often each risk happens · the activities that drive the finish.</t>
  </si>
  <si>
    <t>ModelRisk techniques</t>
  </si>
  <si>
    <t>Finish-to-start logic with MAX over parallel predecessors · triangular durations (VoseTriangle) · risk events that add delay (VoseBernoulli) with one probability that depends on the others · alternative ways of doing an activity (VoseDiscrete) · criticality of each path · tornado ranking of the activities (VoseSimSensitivityMean).</t>
  </si>
  <si>
    <t>File</t>
  </si>
  <si>
    <t>GU-04 Simple project schedule with risks  ·  Version 1.0  ·  October 2026  ·  re-issues the examples Schedule Model With Risks, Project Schedule 1–3, Silo and Hospital  ·  built with ModelRisk 10</t>
  </si>
  <si>
    <t>The business question</t>
  </si>
  <si>
    <t>A company is building a small factory. The schedule has sixteen activities. After design and approvals, three activities run side by side, and then three paths follow: the building itself (foundations, steel frame, roof), the site services (ground works, drainage, utility connections) and the process equipment (order, manufacture, installation). Commissioning and fit-out can start only when all three are done, followed by the handover tests. Each duration is uncertain, between 80% and 150% of its most likely value. Ground works can go three ways: as normal, with a problem, or better than planned. Three risks can add delay: storm damage to the cladding, a utility company that connects late, and an installation crew that loses its slot, which is twice as likely if one of the other two has already delayed the site. The plan, with every activity at its most likely duration and no risks, finishes in week 68, and the contract allows 80 weeks.</t>
  </si>
  <si>
    <t>How the model works</t>
  </si>
  <si>
    <t>Three sheets after this one, read from left to right. Each one feeds the next.</t>
  </si>
  <si>
    <t>1  Inputs</t>
  </si>
  <si>
    <t>The date the project starts and the contract completion date.</t>
  </si>
  <si>
    <t>2  Schedule</t>
  </si>
  <si>
    <t>Each activity starts when the last of its predecessors finishes (MAX) and lasts a triangular duration. Ground works' duration depends on which of its three ways happens (VoseDiscrete). Each risk happens with its probability (VoseBernoulli) and adds its delay to the activity it affects; the crew risk's probability is raised if either other risk happened. The plan column repeats the logic with most likely durations and no risks.</t>
  </si>
  <si>
    <t>3  Results</t>
  </si>
  <si>
    <t>The finish week and date at P50 / P80 / P90 against the plan and the contract, how often each path is the critical one, how often each risk happens, and the activities that drive the finish.</t>
  </si>
  <si>
    <t>How to use it</t>
  </si>
  <si>
    <t>Step 1</t>
  </si>
  <si>
    <t>Set the start and contract dates on the Inputs sheet.</t>
  </si>
  <si>
    <t>Step 2</t>
  </si>
  <si>
    <t>Replace the activities, their durations and 'starts after' links on the Schedule sheet: a new link is a new reference in the MAX of the Start column.</t>
  </si>
  <si>
    <t>Step 3</t>
  </si>
  <si>
    <t>Run a simulation from the ModelRisk ribbon (10,000 samples with a fixed seed are set).</t>
  </si>
  <si>
    <t>Step 4</t>
  </si>
  <si>
    <t>Use the P80 date rather than the plan for commitments, and the critical-path shares to decide where to act.</t>
  </si>
  <si>
    <t>Workbook map</t>
  </si>
  <si>
    <t>Inputs</t>
  </si>
  <si>
    <t>Project start and contract dates.</t>
  </si>
  <si>
    <t>Schedule</t>
  </si>
  <si>
    <t>Activities, ground works' ways, risks, this iteration's dates and the plan; outputs and checks.</t>
  </si>
  <si>
    <t>Results</t>
  </si>
  <si>
    <t>Finish dates, chances of meeting the plan and the contract, critical paths, risks and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</si>
  <si>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</si>
  <si>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</si>
  <si>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</si>
  <si>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</si>
  <si>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</si>
  <si>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</si>
  <si>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</si>
  <si>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</si>
  <si>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</si>
  <si>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</si>
  <si>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</si>
  <si>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</si>
  <si>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Time</t>
  </si>
  <si>
    <t>Weeks from the project start; dates are the start date plus 7 days per week.</t>
  </si>
  <si>
    <t>Plan</t>
  </si>
  <si>
    <t>Every activity at its most likely duration, ground works as normal, no risks.</t>
  </si>
  <si>
    <t>Critical path</t>
  </si>
  <si>
    <t>The path among the three that finishes last in an iteration: it sets the start of commissioning.</t>
  </si>
  <si>
    <t>Key assumptions and limitations</t>
  </si>
  <si>
    <t>Finish-to-start</t>
  </si>
  <si>
    <t>An activity starts as soon as all its predecessors have finished; no lags, no resource limits.</t>
  </si>
  <si>
    <t>Durations</t>
  </si>
  <si>
    <t>Triangular from 80% to 150% of the most likely value, as in the original example.</t>
  </si>
  <si>
    <t>Risk delays</t>
  </si>
  <si>
    <t>Added to the duration of the activity a risk affects. Storm damage adds 20% to 50% of the roof's duration.</t>
  </si>
  <si>
    <t>Data</t>
  </si>
  <si>
    <t>The project is invented for this example. The network, durations and risks are those of ModelRisk's earlier Schedule Model With Risks example, and ground works' three ways those of Project Schedule 3.</t>
  </si>
  <si>
    <t>ModelRisk functions used</t>
  </si>
  <si>
    <t>VoseTriangle</t>
  </si>
  <si>
    <t>Each activity's duration, and each risk's delay if it happens.</t>
  </si>
  <si>
    <t>VoseDiscrete</t>
  </si>
  <si>
    <t>Which way ground works go: normal, with a problem, or better than planned.</t>
  </si>
  <si>
    <t>VoseBernoulli</t>
  </si>
  <si>
    <t>Whether each risk happens; the crew risk's probability depends on the other two.</t>
  </si>
  <si>
    <t>VoseInput, VoseOutput</t>
  </si>
  <si>
    <t>Name each activity's duration and the finish week, for the Results Viewer and the tornado.</t>
  </si>
  <si>
    <t>VoseSimMean, VoseSimPercentile</t>
  </si>
  <si>
    <t>Statistics of the simulation: chances (means of 1/0 outcomes) and finish dates.</t>
  </si>
  <si>
    <t>VoseSimSensitivityMean</t>
  </si>
  <si>
    <t>The tornado chart: the activities whose durations move the mean finish most.</t>
  </si>
  <si>
    <t>Further reading</t>
  </si>
  <si>
    <t>Schedule risk</t>
  </si>
  <si>
    <t>Vose, D. (2008). Risk Analysis: A Quantitative Guide, 3rd edition. Wiley: project risk analysis.</t>
  </si>
  <si>
    <t>Merge bias</t>
  </si>
  <si>
    <t>Hulett, D. (2009). Practical Schedule Risk Analysis. Gower: why parallel paths make projects late.</t>
  </si>
  <si>
    <t>© 2026 Vose Software   ·   www.vosesoftware.com   ·   An illustrative example: the figures are invented for teaching and do not describe a real company, project or asset.</t>
  </si>
  <si>
    <t>INPUTS   ·   The start and contract dates. Activities, ground works' three ways and the risks are on the Schedule sheet. Change only the yellow cells.</t>
  </si>
  <si>
    <t>◂  About</t>
  </si>
  <si>
    <t>Next:  Schedule  ▸</t>
  </si>
  <si>
    <t>How to read this sheet:  yellow cells are inputs.</t>
  </si>
  <si>
    <t>1   Dates</t>
  </si>
  <si>
    <t>When the project starts, and the completion date in the contract.</t>
  </si>
  <si>
    <t>Assumption</t>
  </si>
  <si>
    <t>Unit</t>
  </si>
  <si>
    <t>Value in model</t>
  </si>
  <si>
    <t>Uncertainty</t>
  </si>
  <si>
    <t>Basis / source (illustrative)</t>
  </si>
  <si>
    <t>Project start date</t>
  </si>
  <si>
    <t>date</t>
  </si>
  <si>
    <t>Fixed</t>
  </si>
  <si>
    <t>A Monday.</t>
  </si>
  <si>
    <t>Contract completion date</t>
  </si>
  <si>
    <t>80 weeks after the start: 12 weeks more than the plan.</t>
  </si>
  <si>
    <t>SCHEDULE   ·   Sixteen activities on three paths, ground works' three ways and three risks: this iteration's dates, and the plan.</t>
  </si>
  <si>
    <t>◂  Inputs</t>
  </si>
  <si>
    <t>Next:  Results  ▸</t>
  </si>
  <si>
    <t>1   Activities</t>
  </si>
  <si>
    <t>Yellow cells are inputs. Each activity starts when the last activity it follows has finished.</t>
  </si>
  <si>
    <t>ID</t>
  </si>
  <si>
    <t>Activity</t>
  </si>
  <si>
    <t>Starts after</t>
  </si>
  <si>
    <t>Duration  (weeks)</t>
  </si>
  <si>
    <t>This iteration  (weeks from the start)</t>
  </si>
  <si>
    <t>How it is calculated</t>
  </si>
  <si>
    <t>Low</t>
  </si>
  <si>
    <t>Most likely</t>
  </si>
  <si>
    <t>High</t>
  </si>
  <si>
    <t>duration</t>
  </si>
  <si>
    <t>risk delay</t>
  </si>
  <si>
    <t>start</t>
  </si>
  <si>
    <t>finish</t>
  </si>
  <si>
    <t>finish date</t>
  </si>
  <si>
    <t>A</t>
  </si>
  <si>
    <t>Design and approvals</t>
  </si>
  <si>
    <t>Duration: VoseTriangle(low, most likely, high)</t>
  </si>
  <si>
    <t>B</t>
  </si>
  <si>
    <t>Site clearance</t>
  </si>
  <si>
    <t>Start: MAX of the finishes of the activities it follows</t>
  </si>
  <si>
    <t>C</t>
  </si>
  <si>
    <t>Procure structural steel</t>
  </si>
  <si>
    <t>Finish = start + duration + risk delay</t>
  </si>
  <si>
    <t>D</t>
  </si>
  <si>
    <t>Detailed engineering</t>
  </si>
  <si>
    <t>Finish date = start date + 7 × finish week</t>
  </si>
  <si>
    <t>E</t>
  </si>
  <si>
    <t>Foundations</t>
  </si>
  <si>
    <t>B, C, D</t>
  </si>
  <si>
    <t>Plan: the same logic with most likely durations and no risks</t>
  </si>
  <si>
    <t>F</t>
  </si>
  <si>
    <t>Steel frame</t>
  </si>
  <si>
    <t>G</t>
  </si>
  <si>
    <t>Roof and cladding</t>
  </si>
  <si>
    <t>Risk delay from R1 (section 3)</t>
  </si>
  <si>
    <t>H</t>
  </si>
  <si>
    <t>Ground works</t>
  </si>
  <si>
    <t>3 ways</t>
  </si>
  <si>
    <t>Duration from its three ways (section 2)</t>
  </si>
  <si>
    <t>I</t>
  </si>
  <si>
    <t>Drainage</t>
  </si>
  <si>
    <t>J</t>
  </si>
  <si>
    <t>Utility connections</t>
  </si>
  <si>
    <t>Risk delay from R2 (section 3)</t>
  </si>
  <si>
    <t>K</t>
  </si>
  <si>
    <t>Order process equipment</t>
  </si>
  <si>
    <t>L</t>
  </si>
  <si>
    <t>Equipment manufacture</t>
  </si>
  <si>
    <t>M</t>
  </si>
  <si>
    <t>Equipment installation</t>
  </si>
  <si>
    <t>Risk delay from R3 (section 3)</t>
  </si>
  <si>
    <t>N</t>
  </si>
  <si>
    <t>Commissioning</t>
  </si>
  <si>
    <t>G, J, M</t>
  </si>
  <si>
    <t>O</t>
  </si>
  <si>
    <t>Fit-out</t>
  </si>
  <si>
    <t>P</t>
  </si>
  <si>
    <t>Handover tests</t>
  </si>
  <si>
    <t>N, O</t>
  </si>
  <si>
    <t>2   Activity H, ground works: three ways it can go</t>
  </si>
  <si>
    <t>Yellow cells are inputs. VoseDiscrete picks the way; its duration range applies.</t>
  </si>
  <si>
    <t>Way</t>
  </si>
  <si>
    <t>Probability</t>
  </si>
  <si>
    <t>If this way</t>
  </si>
  <si>
    <t>weeks</t>
  </si>
  <si>
    <t>Normal</t>
  </si>
  <si>
    <t>The plan assumes this way, at its most likely duration</t>
  </si>
  <si>
    <t>Problem</t>
  </si>
  <si>
    <t>A problem: much longer</t>
  </si>
  <si>
    <t>Opportunity</t>
  </si>
  <si>
    <t>Better than planned</t>
  </si>
  <si>
    <t>Way this iteration</t>
  </si>
  <si>
    <t>VoseDiscrete(ways, probabilities)</t>
  </si>
  <si>
    <t>Ground works' duration this iteration</t>
  </si>
  <si>
    <t>The duration of the way that happens</t>
  </si>
  <si>
    <t>3   Risks</t>
  </si>
  <si>
    <t>Yellow cells are inputs. A risk that happens adds its delay to the activity it affects.</t>
  </si>
  <si>
    <t>Risk</t>
  </si>
  <si>
    <t>Affects</t>
  </si>
  <si>
    <t>Delay if it happens</t>
  </si>
  <si>
    <t>If R1 or R2</t>
  </si>
  <si>
    <t>This iteration</t>
  </si>
  <si>
    <t>on its own</t>
  </si>
  <si>
    <t>happened</t>
  </si>
  <si>
    <t>probability</t>
  </si>
  <si>
    <t>happens?</t>
  </si>
  <si>
    <t>delay (wk)</t>
  </si>
  <si>
    <t>R1</t>
  </si>
  <si>
    <t>Storm damage to the cladding</t>
  </si>
  <si>
    <t>Delay = happens × VoseTriangle(20%, 30%, 50%) × G's duration</t>
  </si>
  <si>
    <t>R2</t>
  </si>
  <si>
    <t>Utility company connects late</t>
  </si>
  <si>
    <t>Delay = happens × VoseTriangle(low, most likely, high)</t>
  </si>
  <si>
    <t>R3</t>
  </si>
  <si>
    <t>Installation crew loses its slot</t>
  </si>
  <si>
    <t>Probability raised if R1 or R2 happened in this iteration</t>
  </si>
  <si>
    <t>4   Value in this iteration</t>
  </si>
  <si>
    <t>Key outputs, recorded by ModelRisk at every sample (VoseOutput). Their statistics appear on the Results sheet.</t>
  </si>
  <si>
    <t>Output</t>
  </si>
  <si>
    <t>Value</t>
  </si>
  <si>
    <t>Meaning</t>
  </si>
  <si>
    <t>Finish  (weeks from the start)</t>
  </si>
  <si>
    <t>The handover tests' finish.</t>
  </si>
  <si>
    <t>Finish date</t>
  </si>
  <si>
    <t>Planned finish  (no risks)</t>
  </si>
  <si>
    <t>The same in every iteration.</t>
  </si>
  <si>
    <t>Contract completion</t>
  </si>
  <si>
    <t>By the planned week?  (1 = yes)</t>
  </si>
  <si>
    <t>1 / 0</t>
  </si>
  <si>
    <t>By the contract date?  (1 = yes)</t>
  </si>
  <si>
    <t>Roof path critical?  (1 = yes)</t>
  </si>
  <si>
    <t>Utilities path critical?  (1 = yes)</t>
  </si>
  <si>
    <t>Equipment path critical?  (1 = yes)</t>
  </si>
  <si>
    <t>5   Model checks</t>
  </si>
  <si>
    <t>Should all read OK. A CHECK means an input has been set outside the range the model is built for.</t>
  </si>
  <si>
    <t>All ranges: low ≤ most likely ≤ high</t>
  </si>
  <si>
    <t>Ground works' three probabilities add up to 100%</t>
  </si>
  <si>
    <t>Risk probabilities are between 0% and 100%</t>
  </si>
  <si>
    <t>The contract date is after the start</t>
  </si>
  <si>
    <t>RESULTS   ·   Filled in automatically from the last simulation. Run a simulation after changing any input.</t>
  </si>
  <si>
    <t>◂  Schedule</t>
  </si>
  <si>
    <t>1   When will the project finish?</t>
  </si>
  <si>
    <t>Finish week — S-curve</t>
  </si>
  <si>
    <t>The finish week against the plan (most likely durations, no risks) and the contract.</t>
  </si>
  <si>
    <t>Measure</t>
  </si>
  <si>
    <t>Planned finish  (most likely durations, no risks)</t>
  </si>
  <si>
    <t>Mean finish  (simulated)</t>
  </si>
  <si>
    <t>Chance of finishing by the planned week</t>
  </si>
  <si>
    <t>Chance of meeting the contract date</t>
  </si>
  <si>
    <t>2   Finish dates</t>
  </si>
  <si>
    <t>P50 / P80 / P90: a 50%, 80% and 90% chance of finishing by then.</t>
  </si>
  <si>
    <t>P50</t>
  </si>
  <si>
    <t>P80</t>
  </si>
  <si>
    <t>P90</t>
  </si>
  <si>
    <t>Finish</t>
  </si>
  <si>
    <t>3   Which path is critical</t>
  </si>
  <si>
    <t>How often each of the three paths finishes last and so sets the start of commissioning.</t>
  </si>
  <si>
    <t>Path</t>
  </si>
  <si>
    <t>Roof path  (E → F → G)</t>
  </si>
  <si>
    <t>Utilities path  (H → I → J)</t>
  </si>
  <si>
    <t>Equipment path  (K → L → M)</t>
  </si>
  <si>
    <t>Total</t>
  </si>
  <si>
    <t>4   The risks</t>
  </si>
  <si>
    <t>How often each risk happens in the simulation, and the delay it adds on average over all iterations.</t>
  </si>
  <si>
    <t>Happens</t>
  </si>
  <si>
    <t>Mean delay</t>
  </si>
  <si>
    <t>R1  Storm damage to the cladding  (on G)</t>
  </si>
  <si>
    <t>R2  Utility company connects late  (on J)</t>
  </si>
  <si>
    <t>R3  Installation crew loses its slot  (on M)</t>
  </si>
  <si>
    <t>5   Which activities matter</t>
  </si>
  <si>
    <t>Which activities drive the finish  (weeks)</t>
  </si>
  <si>
    <t>Lowest and highest mean finish over ten equal groups of each activity's duration (VoseSimSensitivityMean).</t>
  </si>
  <si>
    <t>Input (ranked by influence)</t>
  </si>
  <si>
    <t>Lowest mean</t>
  </si>
  <si>
    <t>Highest mean</t>
  </si>
  <si>
    <t>Rank</t>
  </si>
  <si>
    <t>6   How to read these results</t>
  </si>
  <si>
    <t>•  The plan, with every activity at its most likely duration and no risks, finishes in week 68, and the simulation almost never achieves it. Three things push the finish out: each duration can run to 150% of its most likely value but only down to 80%; commissioning waits for the slowest of three paths; and the risks add delay.</t>
  </si>
  <si>
    <t>•  Plan on the P80 date rather than the most likely one. The contract's 80 weeks give about a 60% chance of finishing on time.</t>
  </si>
  <si>
    <t>•  The roof path is critical in about six iterations out of ten and the equipment path in about three. A plan that watches only the roof path misses a third of the ways the project can be late.</t>
  </si>
  <si>
    <t>•  The installation crew's risk is entered at 20% but happens about one time in three: it rises to 40% whenever storm damage or the utility company has already delayed the site, and the utility risk happens half the time.</t>
  </si>
  <si>
    <t>Chart data</t>
  </si>
  <si>
    <t>Statistics of the last simulation behind the charts and the ranking above. Grouped: click + in the left margin to show them.</t>
  </si>
  <si>
    <t>Cumulative probability</t>
  </si>
  <si>
    <t>Exceedance</t>
  </si>
  <si>
    <t>line at PlanFinish</t>
  </si>
  <si>
    <t>line at ContractWeeks</t>
  </si>
  <si>
    <t>Overall mean of Finish</t>
  </si>
  <si>
    <t>Ranked input (chart)</t>
  </si>
  <si>
    <t>Highest − mean</t>
  </si>
  <si>
    <t>Lowest − mean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</si>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</sst>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5" formatCode="d\ mmm\ yyyy"/>
    <numFmt numFmtId="166" formatCode="#,##0.0_);\(#,##0.0\);&quot;–&quot;_)"/>
    <numFmt numFmtId="167" formatCode="#,##0.0_);\(#,##0.0\);&quot;–&quot;_);&quot;–&quot;"/>
    <numFmt numFmtId="168" formatCode="0.0%;\-0.0%;0.0%;&quot;–&quot;"/>
    <numFmt numFmtId="169" formatCode="#,##0.00_);\(#,##0.00\);&quot;–&quot;_);&quot;–&quot;"/>
    <numFmt numFmtId="170" formatCode="0;\-0;0;&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3"/>
      <color rgb="FF0E4F92"/>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
      <left/>
      <right/>
      <top style="thin">
        <color rgb="FF3F5876"/>
      </top>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4">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5"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0" fontId="17" fillId="7" borderId="2" xfId="0" applyFont="1" applyFill="1" applyBorder="1" applyAlignment="1">
      <alignment horizontal="left" vertical="center" indent="1"/>
    </xf>
    <xf numFmtId="0" fontId="0" fillId="7" borderId="2" xfId="0" applyFill="1" applyBorder="1"/>
    <xf numFmtId="0" fontId="19" fillId="7" borderId="4" xfId="0" applyFont="1" applyFill="1" applyBorder="1" applyAlignment="1">
      <alignment horizontal="right" vertical="center"/>
    </xf>
    <xf numFmtId="0" fontId="12" fillId="0" borderId="6" xfId="0" applyFont="1" applyBorder="1" applyAlignment="1">
      <alignment horizontal="left" vertical="center" indent="1"/>
    </xf>
    <xf numFmtId="166" fontId="1" fillId="2" borderId="7" xfId="1" applyNumberFormat="1" applyBorder="1">
      <alignment horizontal="right" vertical="center"/>
    </xf>
    <xf numFmtId="166" fontId="2" fillId="3" borderId="7" xfId="2" applyNumberFormat="1" applyBorder="1">
      <alignment horizontal="right" vertical="center"/>
    </xf>
    <xf numFmtId="166" fontId="3" fillId="0" borderId="8" xfId="3" applyNumberFormat="1" applyBorder="1">
      <alignment horizontal="right" vertical="center"/>
    </xf>
    <xf numFmtId="165" fontId="3" fillId="0" borderId="8" xfId="3" applyNumberFormat="1" applyBorder="1">
      <alignment horizontal="right" vertical="center"/>
    </xf>
    <xf numFmtId="0" fontId="16" fillId="0" borderId="6" xfId="0" applyFont="1" applyBorder="1" applyAlignment="1">
      <alignment horizontal="right" vertical="center"/>
    </xf>
    <xf numFmtId="0" fontId="17" fillId="7" borderId="2" xfId="0" applyFont="1" applyFill="1" applyBorder="1" applyAlignment="1">
      <alignment horizontal="right" vertical="center"/>
    </xf>
    <xf numFmtId="9" fontId="1" fillId="2" borderId="7" xfId="1" applyNumberFormat="1" applyBorder="1">
      <alignment horizontal="right" vertical="center"/>
    </xf>
    <xf numFmtId="1" fontId="2" fillId="3" borderId="7" xfId="2" applyNumberFormat="1" applyBorder="1">
      <alignment horizontal="right" vertical="center"/>
    </xf>
    <xf numFmtId="9" fontId="3" fillId="0" borderId="8" xfId="3"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6" fontId="4" fillId="4" borderId="9" xfId="4" applyNumberFormat="1" applyBorder="1">
      <alignment horizontal="right" vertical="center"/>
    </xf>
    <xf numFmtId="1" fontId="3" fillId="0" borderId="8" xfId="3" applyNumberFormat="1" applyBorder="1">
      <alignment horizontal="right" vertical="center"/>
    </xf>
    <xf numFmtId="0" fontId="20"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3" fillId="0" borderId="5" xfId="0" applyFont="1" applyBorder="1"/>
    <xf numFmtId="0" fontId="21" fillId="0" borderId="6" xfId="0" applyFont="1" applyBorder="1" applyAlignment="1">
      <alignment horizontal="left" vertical="center" indent="1"/>
    </xf>
    <xf numFmtId="167" fontId="1" fillId="5" borderId="7" xfId="5" applyNumberFormat="1" applyBorder="1">
      <alignment horizontal="right" vertical="center"/>
    </xf>
    <xf numFmtId="168" fontId="1" fillId="5" borderId="7" xfId="5" applyNumberFormat="1" applyBorder="1">
      <alignment horizontal="right" vertical="center"/>
    </xf>
    <xf numFmtId="168" fontId="22" fillId="5" borderId="7" xfId="5" applyNumberFormat="1" applyFont="1" applyBorder="1">
      <alignment horizontal="right" vertical="center"/>
    </xf>
    <xf numFmtId="165" fontId="1" fillId="5" borderId="7" xfId="5" applyNumberFormat="1" applyBorder="1">
      <alignment horizontal="right" vertical="center"/>
    </xf>
    <xf numFmtId="0" fontId="12" fillId="0" borderId="11" xfId="0" applyFont="1" applyBorder="1" applyAlignment="1">
      <alignment horizontal="left" vertical="center" indent="1"/>
    </xf>
    <xf numFmtId="0" fontId="0" fillId="0" borderId="11" xfId="0" applyBorder="1"/>
    <xf numFmtId="168" fontId="12" fillId="0" borderId="11" xfId="3" applyNumberFormat="1" applyFont="1" applyBorder="1">
      <alignment horizontal="right" vertical="center"/>
    </xf>
    <xf numFmtId="169" fontId="1" fillId="5" borderId="7" xfId="5" applyNumberFormat="1" applyBorder="1">
      <alignment horizontal="right" vertical="center"/>
    </xf>
    <xf numFmtId="0" fontId="17" fillId="7" borderId="4" xfId="0" applyFont="1" applyFill="1" applyBorder="1" applyAlignment="1">
      <alignment horizontal="center" vertical="center" wrapText="1"/>
    </xf>
    <xf numFmtId="170"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7" fontId="1" fillId="5" borderId="1" xfId="5" applyNumberFormat="1">
      <alignment horizontal="right" vertical="center"/>
    </xf>
    <xf numFmtId="0" fontId="21" fillId="0" borderId="0" xfId="0" applyFont="1" applyAlignment="1">
      <alignment horizontal="left" vertical="center" indent="1"/>
    </xf>
    <xf numFmtId="166"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Finish</c:v>
          </c:tx>
          <c:spPr>
            <a:ln w="25400">
              <a:solidFill>
                <a:srgbClr val="0E4F92"/>
              </a:solidFill>
              <a:prstDash val="solid"/>
            </a:ln>
          </c:spPr>
          <c:marker>
            <c:symbol val="none"/>
          </c:marker>
          <c:xVal>
            <c:numRef>
              <c:f>Results!$D$63:$D$112</c:f>
              <c:numCache>
                <c:formatCode>#,##0.00</c:formatCode>
                <c:ptCount val="50"/>
                <c:pt idx="0">
                  <c:v>70.084376796257359</c:v>
                </c:pt>
                <c:pt idx="1">
                  <c:v>71.636569316542761</c:v>
                </c:pt>
                <c:pt idx="2">
                  <c:v>72.441966842865568</c:v>
                </c:pt>
                <c:pt idx="3">
                  <c:v>73.068261031958841</c:v>
                </c:pt>
                <c:pt idx="4">
                  <c:v>73.55408839751135</c:v>
                </c:pt>
                <c:pt idx="5">
                  <c:v>73.948718801298426</c:v>
                </c:pt>
                <c:pt idx="6">
                  <c:v>74.283159161390913</c:v>
                </c:pt>
                <c:pt idx="7">
                  <c:v>74.61928427801665</c:v>
                </c:pt>
                <c:pt idx="8">
                  <c:v>74.984087180726718</c:v>
                </c:pt>
                <c:pt idx="9">
                  <c:v>75.315983963665445</c:v>
                </c:pt>
                <c:pt idx="10">
                  <c:v>75.584862421369508</c:v>
                </c:pt>
                <c:pt idx="11">
                  <c:v>75.848598190780635</c:v>
                </c:pt>
                <c:pt idx="12">
                  <c:v>76.107628792800355</c:v>
                </c:pt>
                <c:pt idx="13">
                  <c:v>76.334525055952554</c:v>
                </c:pt>
                <c:pt idx="14">
                  <c:v>76.55867997891562</c:v>
                </c:pt>
                <c:pt idx="15">
                  <c:v>76.78291007192415</c:v>
                </c:pt>
                <c:pt idx="16">
                  <c:v>77.002473452652424</c:v>
                </c:pt>
                <c:pt idx="17">
                  <c:v>77.186660008873659</c:v>
                </c:pt>
                <c:pt idx="18">
                  <c:v>77.397532004518084</c:v>
                </c:pt>
                <c:pt idx="19">
                  <c:v>77.600878322452417</c:v>
                </c:pt>
                <c:pt idx="20">
                  <c:v>77.804503372061163</c:v>
                </c:pt>
                <c:pt idx="21">
                  <c:v>78.034377192907044</c:v>
                </c:pt>
                <c:pt idx="22">
                  <c:v>78.245668779470648</c:v>
                </c:pt>
                <c:pt idx="23">
                  <c:v>78.440274051212043</c:v>
                </c:pt>
                <c:pt idx="24">
                  <c:v>78.657954217637823</c:v>
                </c:pt>
                <c:pt idx="25">
                  <c:v>78.856877930998692</c:v>
                </c:pt>
                <c:pt idx="26">
                  <c:v>79.052240013455062</c:v>
                </c:pt>
                <c:pt idx="27">
                  <c:v>79.256889117408321</c:v>
                </c:pt>
                <c:pt idx="28">
                  <c:v>79.485135803447633</c:v>
                </c:pt>
                <c:pt idx="29">
                  <c:v>79.723758022023873</c:v>
                </c:pt>
                <c:pt idx="30">
                  <c:v>79.95201851518371</c:v>
                </c:pt>
                <c:pt idx="31">
                  <c:v>80.182369556673208</c:v>
                </c:pt>
                <c:pt idx="32">
                  <c:v>80.410074470012049</c:v>
                </c:pt>
                <c:pt idx="33">
                  <c:v>80.650989436892388</c:v>
                </c:pt>
                <c:pt idx="34">
                  <c:v>80.880210112218293</c:v>
                </c:pt>
                <c:pt idx="35">
                  <c:v>81.109903771618363</c:v>
                </c:pt>
                <c:pt idx="36">
                  <c:v>81.374966507895252</c:v>
                </c:pt>
                <c:pt idx="37">
                  <c:v>81.652278314830724</c:v>
                </c:pt>
                <c:pt idx="38">
                  <c:v>81.917491522495965</c:v>
                </c:pt>
                <c:pt idx="39">
                  <c:v>82.194182417569266</c:v>
                </c:pt>
                <c:pt idx="40">
                  <c:v>82.480411188863073</c:v>
                </c:pt>
                <c:pt idx="41">
                  <c:v>82.824059622778009</c:v>
                </c:pt>
                <c:pt idx="42">
                  <c:v>83.172659640200493</c:v>
                </c:pt>
                <c:pt idx="43">
                  <c:v>83.560327453056715</c:v>
                </c:pt>
                <c:pt idx="44">
                  <c:v>83.987501577712948</c:v>
                </c:pt>
                <c:pt idx="45">
                  <c:v>84.488298245236763</c:v>
                </c:pt>
                <c:pt idx="46">
                  <c:v>85.05238175228655</c:v>
                </c:pt>
                <c:pt idx="47">
                  <c:v>85.719265507189888</c:v>
                </c:pt>
                <c:pt idx="48">
                  <c:v>86.68871996198412</c:v>
                </c:pt>
                <c:pt idx="49">
                  <c:v>88.513363355315889</c:v>
                </c:pt>
              </c:numCache>
            </c:numRef>
          </c:xVal>
          <c:yVal>
            <c:numRef>
              <c:f>Results!$B$63:$B$112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DA93-4CB0-A714-00A58ECCE719}"/>
            </c:ext>
          </c:extLst>
        </c:ser>
        <c:ser>
          <c:idx val="1"/>
          <c:order val="1"/>
          <c:tx>
            <c:v>Plan</c:v>
          </c:tx>
          <c:spPr>
            <a:ln w="19050">
              <a:solidFill>
                <a:srgbClr val="B91C1C"/>
              </a:solidFill>
              <a:prstDash val="sysDash"/>
            </a:ln>
          </c:spPr>
          <c:marker>
            <c:symbol val="none"/>
          </c:marker>
          <c:xVal>
            <c:numRef>
              <c:f>Results!$E$63:$E$112</c:f>
              <c:numCache>
                <c:formatCode>#,##0.00</c:formatCode>
                <c:ptCount val="50"/>
                <c:pt idx="0">
                  <c:v>68</c:v>
                </c:pt>
                <c:pt idx="1">
                  <c:v>68</c:v>
                </c:pt>
                <c:pt idx="2">
                  <c:v>68</c:v>
                </c:pt>
                <c:pt idx="3">
                  <c:v>68</c:v>
                </c:pt>
                <c:pt idx="4">
                  <c:v>68</c:v>
                </c:pt>
                <c:pt idx="5">
                  <c:v>68</c:v>
                </c:pt>
                <c:pt idx="6">
                  <c:v>68</c:v>
                </c:pt>
                <c:pt idx="7">
                  <c:v>68</c:v>
                </c:pt>
                <c:pt idx="8">
                  <c:v>68</c:v>
                </c:pt>
                <c:pt idx="9">
                  <c:v>68</c:v>
                </c:pt>
                <c:pt idx="10">
                  <c:v>68</c:v>
                </c:pt>
                <c:pt idx="11">
                  <c:v>68</c:v>
                </c:pt>
                <c:pt idx="12">
                  <c:v>68</c:v>
                </c:pt>
                <c:pt idx="13">
                  <c:v>68</c:v>
                </c:pt>
                <c:pt idx="14">
                  <c:v>68</c:v>
                </c:pt>
                <c:pt idx="15">
                  <c:v>68</c:v>
                </c:pt>
                <c:pt idx="16">
                  <c:v>68</c:v>
                </c:pt>
                <c:pt idx="17">
                  <c:v>68</c:v>
                </c:pt>
                <c:pt idx="18">
                  <c:v>68</c:v>
                </c:pt>
                <c:pt idx="19">
                  <c:v>68</c:v>
                </c:pt>
                <c:pt idx="20">
                  <c:v>68</c:v>
                </c:pt>
                <c:pt idx="21">
                  <c:v>68</c:v>
                </c:pt>
                <c:pt idx="22">
                  <c:v>68</c:v>
                </c:pt>
                <c:pt idx="23">
                  <c:v>68</c:v>
                </c:pt>
                <c:pt idx="24">
                  <c:v>68</c:v>
                </c:pt>
                <c:pt idx="25">
                  <c:v>68</c:v>
                </c:pt>
                <c:pt idx="26">
                  <c:v>68</c:v>
                </c:pt>
                <c:pt idx="27">
                  <c:v>68</c:v>
                </c:pt>
                <c:pt idx="28">
                  <c:v>68</c:v>
                </c:pt>
                <c:pt idx="29">
                  <c:v>68</c:v>
                </c:pt>
                <c:pt idx="30">
                  <c:v>68</c:v>
                </c:pt>
                <c:pt idx="31">
                  <c:v>68</c:v>
                </c:pt>
                <c:pt idx="32">
                  <c:v>68</c:v>
                </c:pt>
                <c:pt idx="33">
                  <c:v>68</c:v>
                </c:pt>
                <c:pt idx="34">
                  <c:v>68</c:v>
                </c:pt>
                <c:pt idx="35">
                  <c:v>68</c:v>
                </c:pt>
                <c:pt idx="36">
                  <c:v>68</c:v>
                </c:pt>
                <c:pt idx="37">
                  <c:v>68</c:v>
                </c:pt>
                <c:pt idx="38">
                  <c:v>68</c:v>
                </c:pt>
                <c:pt idx="39">
                  <c:v>68</c:v>
                </c:pt>
                <c:pt idx="40">
                  <c:v>68</c:v>
                </c:pt>
                <c:pt idx="41">
                  <c:v>68</c:v>
                </c:pt>
                <c:pt idx="42">
                  <c:v>68</c:v>
                </c:pt>
                <c:pt idx="43">
                  <c:v>68</c:v>
                </c:pt>
                <c:pt idx="44">
                  <c:v>68</c:v>
                </c:pt>
                <c:pt idx="45">
                  <c:v>68</c:v>
                </c:pt>
                <c:pt idx="46">
                  <c:v>68</c:v>
                </c:pt>
                <c:pt idx="47">
                  <c:v>68</c:v>
                </c:pt>
                <c:pt idx="48">
                  <c:v>68</c:v>
                </c:pt>
                <c:pt idx="49">
                  <c:v>68</c:v>
                </c:pt>
              </c:numCache>
            </c:numRef>
          </c:xVal>
          <c:yVal>
            <c:numRef>
              <c:f>Results!$B$63:$B$112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DA93-4CB0-A714-00A58ECCE719}"/>
            </c:ext>
          </c:extLst>
        </c:ser>
        <c:ser>
          <c:idx val="2"/>
          <c:order val="2"/>
          <c:tx>
            <c:v>Contract</c:v>
          </c:tx>
          <c:spPr>
            <a:ln w="19050">
              <a:solidFill>
                <a:srgbClr val="B91C1C"/>
              </a:solidFill>
              <a:prstDash val="sysDash"/>
            </a:ln>
          </c:spPr>
          <c:marker>
            <c:symbol val="none"/>
          </c:marker>
          <c:xVal>
            <c:numRef>
              <c:f>Results!$F$63:$F$112</c:f>
              <c:numCache>
                <c:formatCode>#,##0.00</c:formatCode>
                <c:ptCount val="50"/>
                <c:pt idx="0">
                  <c:v>80</c:v>
                </c:pt>
                <c:pt idx="1">
                  <c:v>80</c:v>
                </c:pt>
                <c:pt idx="2">
                  <c:v>80</c:v>
                </c:pt>
                <c:pt idx="3">
                  <c:v>80</c:v>
                </c:pt>
                <c:pt idx="4">
                  <c:v>80</c:v>
                </c:pt>
                <c:pt idx="5">
                  <c:v>80</c:v>
                </c:pt>
                <c:pt idx="6">
                  <c:v>80</c:v>
                </c:pt>
                <c:pt idx="7">
                  <c:v>80</c:v>
                </c:pt>
                <c:pt idx="8">
                  <c:v>80</c:v>
                </c:pt>
                <c:pt idx="9">
                  <c:v>80</c:v>
                </c:pt>
                <c:pt idx="10">
                  <c:v>80</c:v>
                </c:pt>
                <c:pt idx="11">
                  <c:v>80</c:v>
                </c:pt>
                <c:pt idx="12">
                  <c:v>80</c:v>
                </c:pt>
                <c:pt idx="13">
                  <c:v>80</c:v>
                </c:pt>
                <c:pt idx="14">
                  <c:v>80</c:v>
                </c:pt>
                <c:pt idx="15">
                  <c:v>80</c:v>
                </c:pt>
                <c:pt idx="16">
                  <c:v>80</c:v>
                </c:pt>
                <c:pt idx="17">
                  <c:v>80</c:v>
                </c:pt>
                <c:pt idx="18">
                  <c:v>80</c:v>
                </c:pt>
                <c:pt idx="19">
                  <c:v>80</c:v>
                </c:pt>
                <c:pt idx="20">
                  <c:v>80</c:v>
                </c:pt>
                <c:pt idx="21">
                  <c:v>80</c:v>
                </c:pt>
                <c:pt idx="22">
                  <c:v>80</c:v>
                </c:pt>
                <c:pt idx="23">
                  <c:v>80</c:v>
                </c:pt>
                <c:pt idx="24">
                  <c:v>80</c:v>
                </c:pt>
                <c:pt idx="25">
                  <c:v>80</c:v>
                </c:pt>
                <c:pt idx="26">
                  <c:v>80</c:v>
                </c:pt>
                <c:pt idx="27">
                  <c:v>80</c:v>
                </c:pt>
                <c:pt idx="28">
                  <c:v>80</c:v>
                </c:pt>
                <c:pt idx="29">
                  <c:v>80</c:v>
                </c:pt>
                <c:pt idx="30">
                  <c:v>80</c:v>
                </c:pt>
                <c:pt idx="31">
                  <c:v>80</c:v>
                </c:pt>
                <c:pt idx="32">
                  <c:v>80</c:v>
                </c:pt>
                <c:pt idx="33">
                  <c:v>80</c:v>
                </c:pt>
                <c:pt idx="34">
                  <c:v>80</c:v>
                </c:pt>
                <c:pt idx="35">
                  <c:v>80</c:v>
                </c:pt>
                <c:pt idx="36">
                  <c:v>80</c:v>
                </c:pt>
                <c:pt idx="37">
                  <c:v>80</c:v>
                </c:pt>
                <c:pt idx="38">
                  <c:v>80</c:v>
                </c:pt>
                <c:pt idx="39">
                  <c:v>80</c:v>
                </c:pt>
                <c:pt idx="40">
                  <c:v>80</c:v>
                </c:pt>
                <c:pt idx="41">
                  <c:v>80</c:v>
                </c:pt>
                <c:pt idx="42">
                  <c:v>80</c:v>
                </c:pt>
                <c:pt idx="43">
                  <c:v>80</c:v>
                </c:pt>
                <c:pt idx="44">
                  <c:v>80</c:v>
                </c:pt>
                <c:pt idx="45">
                  <c:v>80</c:v>
                </c:pt>
                <c:pt idx="46">
                  <c:v>80</c:v>
                </c:pt>
                <c:pt idx="47">
                  <c:v>80</c:v>
                </c:pt>
                <c:pt idx="48">
                  <c:v>80</c:v>
                </c:pt>
                <c:pt idx="49">
                  <c:v>80</c:v>
                </c:pt>
              </c:numCache>
            </c:numRef>
          </c:xVal>
          <c:yVal>
            <c:numRef>
              <c:f>Results!$B$63:$B$112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DA93-4CB0-A714-00A58ECCE719}"/>
            </c:ext>
          </c:extLst>
        </c:ser>
        <c:dLbls>
          <c:showLegendKey val="0"/>
          <c:showVal val="0"/>
          <c:showCatName val="0"/>
          <c:showSerName val="0"/>
          <c:showPercent val="0"/>
          <c:showBubbleSize val="0"/>
        </c:dLbls>
        <c:axId val="10"/>
        <c:axId val="20"/>
      </c:scatterChart>
      <c:valAx>
        <c:axId val="10"/>
        <c:scaling>
          <c:orientation val="minMax"/>
          <c:min val="60"/>
        </c:scaling>
        <c:delete val="0"/>
        <c:axPos val="b"/>
        <c:title>
          <c:tx>
            <c:rich>
              <a:bodyPr/>
              <a:lstStyle/>
              <a:p>
                <a:pPr>
                  <a:defRPr/>
                </a:pPr>
                <a:r>
                  <a:rPr lang="en-US"/>
                  <a:t>Finish (weeks from the start)</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Results!$B$116:$B$125</c:f>
              <c:strCache>
                <c:ptCount val="10"/>
                <c:pt idx="0">
                  <c:v>A  Design and approvals</c:v>
                </c:pt>
                <c:pt idx="1">
                  <c:v>C  Procure structural steel</c:v>
                </c:pt>
                <c:pt idx="2">
                  <c:v>G  Roof and cladding</c:v>
                </c:pt>
                <c:pt idx="3">
                  <c:v>P  Handover tests</c:v>
                </c:pt>
                <c:pt idx="4">
                  <c:v>N  Commissioning</c:v>
                </c:pt>
                <c:pt idx="5">
                  <c:v>O  Fit-out</c:v>
                </c:pt>
                <c:pt idx="6">
                  <c:v>F  Steel frame</c:v>
                </c:pt>
                <c:pt idx="7">
                  <c:v>B  Site clearance</c:v>
                </c:pt>
                <c:pt idx="8">
                  <c:v>E  Foundations</c:v>
                </c:pt>
                <c:pt idx="9">
                  <c:v>M  Equipment installation</c:v>
                </c:pt>
              </c:strCache>
            </c:strRef>
          </c:cat>
          <c:val>
            <c:numRef>
              <c:f>Results!$F$116:$F$125</c:f>
              <c:numCache>
                <c:formatCode>#,##0.0_);\(#,##0.0\);"–"_)</c:formatCode>
                <c:ptCount val="10"/>
                <c:pt idx="0">
                  <c:v>2.6327645690411998</c:v>
                </c:pt>
                <c:pt idx="1">
                  <c:v>2.8167664914974324</c:v>
                </c:pt>
                <c:pt idx="2">
                  <c:v>2.2809335063183624</c:v>
                </c:pt>
                <c:pt idx="3">
                  <c:v>2.1116468373861039</c:v>
                </c:pt>
                <c:pt idx="4">
                  <c:v>2.0613451433228107</c:v>
                </c:pt>
                <c:pt idx="5">
                  <c:v>1.8817260364745607</c:v>
                </c:pt>
                <c:pt idx="6">
                  <c:v>1.559604220210062</c:v>
                </c:pt>
                <c:pt idx="7">
                  <c:v>1.5802526087157389</c:v>
                </c:pt>
                <c:pt idx="8">
                  <c:v>1.3564965798007762</c:v>
                </c:pt>
                <c:pt idx="9">
                  <c:v>1.3309195020616045</c:v>
                </c:pt>
              </c:numCache>
            </c:numRef>
          </c:val>
          <c:extLst>
            <c:ext xmlns:c16="http://schemas.microsoft.com/office/drawing/2014/chart" uri="{C3380CC4-5D6E-409C-BE32-E72D297353CC}">
              <c16:uniqueId val="{00000000-9D63-49B8-A661-08E3744C8455}"/>
            </c:ext>
          </c:extLst>
        </c:ser>
        <c:ser>
          <c:idx val="1"/>
          <c:order val="1"/>
          <c:tx>
            <c:v>Lowest group mean</c:v>
          </c:tx>
          <c:spPr>
            <a:solidFill>
              <a:srgbClr val="B91C1C"/>
            </a:solidFill>
            <a:ln>
              <a:noFill/>
              <a:prstDash val="solid"/>
            </a:ln>
          </c:spPr>
          <c:invertIfNegative val="0"/>
          <c:cat>
            <c:strRef>
              <c:f>Results!$B$116:$B$125</c:f>
              <c:strCache>
                <c:ptCount val="10"/>
                <c:pt idx="0">
                  <c:v>A  Design and approvals</c:v>
                </c:pt>
                <c:pt idx="1">
                  <c:v>C  Procure structural steel</c:v>
                </c:pt>
                <c:pt idx="2">
                  <c:v>G  Roof and cladding</c:v>
                </c:pt>
                <c:pt idx="3">
                  <c:v>P  Handover tests</c:v>
                </c:pt>
                <c:pt idx="4">
                  <c:v>N  Commissioning</c:v>
                </c:pt>
                <c:pt idx="5">
                  <c:v>O  Fit-out</c:v>
                </c:pt>
                <c:pt idx="6">
                  <c:v>F  Steel frame</c:v>
                </c:pt>
                <c:pt idx="7">
                  <c:v>B  Site clearance</c:v>
                </c:pt>
                <c:pt idx="8">
                  <c:v>E  Foundations</c:v>
                </c:pt>
                <c:pt idx="9">
                  <c:v>M  Equipment installation</c:v>
                </c:pt>
              </c:strCache>
            </c:strRef>
          </c:cat>
          <c:val>
            <c:numRef>
              <c:f>Results!$G$116:$G$125</c:f>
              <c:numCache>
                <c:formatCode>#,##0.0_);\(#,##0.0\);"–"_)</c:formatCode>
                <c:ptCount val="10"/>
                <c:pt idx="0">
                  <c:v>-2.0730684347432913</c:v>
                </c:pt>
                <c:pt idx="1">
                  <c:v>-1.4402817612400725</c:v>
                </c:pt>
                <c:pt idx="2">
                  <c:v>-1.4916099645573553</c:v>
                </c:pt>
                <c:pt idx="3">
                  <c:v>-1.5741830531736412</c:v>
                </c:pt>
                <c:pt idx="4">
                  <c:v>-0.94850826103669306</c:v>
                </c:pt>
                <c:pt idx="5">
                  <c:v>-1.0486532389339231</c:v>
                </c:pt>
                <c:pt idx="6">
                  <c:v>-0.88600867301478559</c:v>
                </c:pt>
                <c:pt idx="7">
                  <c:v>-0.75510254141008204</c:v>
                </c:pt>
                <c:pt idx="8">
                  <c:v>-0.71063209123811077</c:v>
                </c:pt>
                <c:pt idx="9">
                  <c:v>-0.57342011276429616</c:v>
                </c:pt>
              </c:numCache>
            </c:numRef>
          </c:val>
          <c:extLst>
            <c:ext xmlns:c16="http://schemas.microsoft.com/office/drawing/2014/chart" uri="{C3380CC4-5D6E-409C-BE32-E72D297353CC}">
              <c16:uniqueId val="{00000001-9D63-49B8-A661-08E3744C8455}"/>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38</xdr:row>
      <xdr:rowOff>0</xdr:rowOff>
    </xdr:from>
    <xdr:ext cx="6263999" cy="2412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83" customHeight="1" x14ac:dyDescent="0.45">
      <c r="B16" s="69" t="s">
        <v>20</v>
      </c>
      <c r="C16" s="70"/>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ht="12" customHeight="1" x14ac:dyDescent="0.45"/>
    <row r="55" spans="2:3" ht="22.05" customHeight="1" x14ac:dyDescent="0.5">
      <c r="B55" s="7" t="s">
        <v>63</v>
      </c>
      <c r="C55" s="8"/>
    </row>
    <row r="56" spans="2:3" x14ac:dyDescent="0.45">
      <c r="B56" s="9" t="s">
        <v>64</v>
      </c>
      <c r="C56" s="10" t="s">
        <v>65</v>
      </c>
    </row>
    <row r="57" spans="2:3" x14ac:dyDescent="0.45">
      <c r="B57" s="9" t="s">
        <v>66</v>
      </c>
      <c r="C57" s="10" t="s">
        <v>67</v>
      </c>
    </row>
    <row r="58" spans="2:3" x14ac:dyDescent="0.45">
      <c r="B58" s="9" t="s">
        <v>68</v>
      </c>
      <c r="C58" s="10" t="s">
        <v>69</v>
      </c>
    </row>
    <row r="59" spans="2:3" ht="26.25" x14ac:dyDescent="0.45">
      <c r="B59" s="9" t="s">
        <v>70</v>
      </c>
      <c r="C59" s="10" t="s">
        <v>71</v>
      </c>
    </row>
    <row r="60" spans="2:3" ht="12" customHeight="1" x14ac:dyDescent="0.45"/>
    <row r="61" spans="2:3" ht="22.05" customHeight="1" x14ac:dyDescent="0.5">
      <c r="B61" s="7" t="s">
        <v>72</v>
      </c>
      <c r="C61" s="8"/>
    </row>
    <row r="62" spans="2:3" x14ac:dyDescent="0.45">
      <c r="B62" s="20" t="s">
        <v>73</v>
      </c>
      <c r="C62" s="10" t="s">
        <v>74</v>
      </c>
    </row>
    <row r="63" spans="2:3" x14ac:dyDescent="0.45">
      <c r="B63" s="20" t="s">
        <v>75</v>
      </c>
      <c r="C63" s="10" t="s">
        <v>76</v>
      </c>
    </row>
    <row r="64" spans="2:3" x14ac:dyDescent="0.45">
      <c r="B64" s="20" t="s">
        <v>77</v>
      </c>
      <c r="C64" s="10" t="s">
        <v>78</v>
      </c>
    </row>
    <row r="65" spans="2:3" x14ac:dyDescent="0.45">
      <c r="B65" s="20" t="s">
        <v>79</v>
      </c>
      <c r="C65" s="10" t="s">
        <v>80</v>
      </c>
    </row>
    <row r="66" spans="2:3" ht="26.25" x14ac:dyDescent="0.45">
      <c r="B66" s="20" t="s">
        <v>81</v>
      </c>
      <c r="C66" s="10" t="s">
        <v>82</v>
      </c>
    </row>
    <row r="67" spans="2:3"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x14ac:dyDescent="0.45">
      <c r="B71" s="9" t="s">
        <v>88</v>
      </c>
      <c r="C71" s="10" t="s">
        <v>89</v>
      </c>
    </row>
    <row r="72" spans="2:3" ht="16.05" customHeight="1" x14ac:dyDescent="0.45"/>
    <row r="73" spans="2:3" x14ac:dyDescent="0.45">
      <c r="B73" s="71" t="s">
        <v>90</v>
      </c>
      <c r="C73" s="70"/>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Schedule'!A1" display="Schedule"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3"/>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20" customHeight="1" x14ac:dyDescent="0.45">
      <c r="B6" s="72" t="s">
        <v>94</v>
      </c>
      <c r="C6" s="70"/>
      <c r="D6" s="70"/>
      <c r="E6" s="70"/>
      <c r="F6" s="70"/>
      <c r="G6" s="70"/>
      <c r="H6" s="70"/>
      <c r="I6" s="70"/>
      <c r="J6" s="70"/>
    </row>
    <row r="7" spans="1:10" ht="6" customHeight="1" x14ac:dyDescent="0.45"/>
    <row r="8" spans="1:10" ht="22.05" customHeight="1" x14ac:dyDescent="0.5">
      <c r="B8" s="7" t="s">
        <v>95</v>
      </c>
      <c r="C8" s="8"/>
      <c r="D8" s="8"/>
      <c r="E8" s="8"/>
      <c r="F8" s="8"/>
      <c r="G8" s="8"/>
      <c r="H8" s="8"/>
      <c r="I8" s="8"/>
      <c r="J8" s="8"/>
    </row>
    <row r="9" spans="1:10" ht="18" customHeight="1" x14ac:dyDescent="0.45">
      <c r="B9" s="13" t="s">
        <v>96</v>
      </c>
    </row>
    <row r="10" spans="1:10" ht="18" customHeight="1" x14ac:dyDescent="0.45">
      <c r="B10" s="23" t="s">
        <v>97</v>
      </c>
      <c r="C10" s="23" t="s">
        <v>98</v>
      </c>
      <c r="D10" s="24" t="s">
        <v>99</v>
      </c>
      <c r="E10" s="23" t="s">
        <v>100</v>
      </c>
      <c r="F10" s="5"/>
      <c r="G10" s="5"/>
      <c r="H10" s="5"/>
      <c r="I10" s="5"/>
      <c r="J10" s="23" t="s">
        <v>101</v>
      </c>
    </row>
    <row r="11" spans="1:10" x14ac:dyDescent="0.45">
      <c r="B11" s="25" t="s">
        <v>102</v>
      </c>
      <c r="C11" s="26" t="s">
        <v>103</v>
      </c>
      <c r="D11" s="27">
        <v>46391</v>
      </c>
      <c r="E11" s="26" t="s">
        <v>104</v>
      </c>
      <c r="F11" s="28"/>
      <c r="G11" s="28"/>
      <c r="H11" s="28"/>
      <c r="I11" s="28"/>
      <c r="J11" s="29" t="s">
        <v>105</v>
      </c>
    </row>
    <row r="12" spans="1:10" x14ac:dyDescent="0.45">
      <c r="B12" s="25" t="s">
        <v>106</v>
      </c>
      <c r="C12" s="26" t="s">
        <v>103</v>
      </c>
      <c r="D12" s="27">
        <v>46951</v>
      </c>
      <c r="E12" s="26" t="s">
        <v>104</v>
      </c>
      <c r="F12" s="28"/>
      <c r="G12" s="28"/>
      <c r="H12" s="28"/>
      <c r="I12" s="28"/>
      <c r="J12" s="29" t="s">
        <v>107</v>
      </c>
    </row>
    <row r="13" spans="1:10" ht="8" customHeight="1" x14ac:dyDescent="0.45"/>
  </sheetData>
  <mergeCells count="1">
    <mergeCell ref="B6:J6"/>
  </mergeCells>
  <hyperlinks>
    <hyperlink ref="B4" location="'About'!A1" display="◂  About" xr:uid="{00000000-0004-0000-0100-000000000000}"/>
    <hyperlink ref="J4" location="'Schedule'!A1" display="Next:  Schedule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O64"/>
  <sheetViews>
    <sheetView showGridLines="0" workbookViewId="0">
      <pane xSplit="3" ySplit="5" topLeftCell="D6" activePane="bottomRight" state="frozen"/>
      <selection pane="topRight"/>
      <selection pane="bottomLeft"/>
      <selection pane="bottomRight"/>
    </sheetView>
  </sheetViews>
  <sheetFormatPr defaultRowHeight="14.25" x14ac:dyDescent="0.45"/>
  <cols>
    <col min="1" max="1" width="2" customWidth="1"/>
    <col min="2" max="2" width="5" customWidth="1"/>
    <col min="3" max="3" width="34" customWidth="1"/>
    <col min="4" max="4" width="11" customWidth="1"/>
    <col min="5" max="5" width="12" customWidth="1"/>
    <col min="6" max="6" width="9" customWidth="1"/>
    <col min="7" max="7" width="8" customWidth="1"/>
    <col min="8" max="8" width="10" customWidth="1"/>
    <col min="9" max="11" width="9" customWidth="1"/>
    <col min="12" max="12" width="13" customWidth="1"/>
    <col min="13" max="14" width="9" customWidth="1"/>
    <col min="15" max="15" width="48" customWidth="1"/>
  </cols>
  <sheetData>
    <row r="1" spans="1:15" ht="6" customHeight="1" x14ac:dyDescent="0.45"/>
    <row r="2" spans="1:15" ht="30" customHeight="1" x14ac:dyDescent="0.45">
      <c r="A2" s="1"/>
      <c r="B2" s="21" t="s">
        <v>0</v>
      </c>
      <c r="C2" s="1"/>
      <c r="D2" s="1"/>
      <c r="E2" s="1"/>
      <c r="F2" s="1"/>
      <c r="G2" s="1"/>
      <c r="H2" s="1"/>
      <c r="I2" s="1"/>
      <c r="J2" s="1"/>
      <c r="K2" s="1"/>
      <c r="L2" s="1"/>
      <c r="M2" s="1"/>
      <c r="N2" s="1"/>
      <c r="O2" s="3" t="s">
        <v>1</v>
      </c>
    </row>
    <row r="3" spans="1:15" ht="20" customHeight="1" x14ac:dyDescent="0.45">
      <c r="A3" s="1"/>
      <c r="B3" s="4" t="s">
        <v>108</v>
      </c>
      <c r="C3" s="1"/>
      <c r="D3" s="1"/>
      <c r="E3" s="1"/>
      <c r="F3" s="1"/>
      <c r="G3" s="1"/>
      <c r="H3" s="1"/>
      <c r="I3" s="1"/>
      <c r="J3" s="1"/>
      <c r="K3" s="1"/>
      <c r="L3" s="1"/>
      <c r="M3" s="1"/>
      <c r="N3" s="1"/>
      <c r="O3" s="1"/>
    </row>
    <row r="4" spans="1:15" ht="20" customHeight="1" x14ac:dyDescent="0.45">
      <c r="A4" s="5"/>
      <c r="B4" s="22" t="s">
        <v>109</v>
      </c>
      <c r="C4" s="5"/>
      <c r="D4" s="5"/>
      <c r="E4" s="5"/>
      <c r="F4" s="5"/>
      <c r="G4" s="5"/>
      <c r="H4" s="5"/>
      <c r="I4" s="5"/>
      <c r="J4" s="5"/>
      <c r="K4" s="5"/>
      <c r="L4" s="5"/>
      <c r="M4" s="5"/>
      <c r="N4" s="5"/>
      <c r="O4" s="6" t="s">
        <v>110</v>
      </c>
    </row>
    <row r="5" spans="1:15" ht="8" customHeight="1" x14ac:dyDescent="0.45"/>
    <row r="6" spans="1:15" ht="22.05" customHeight="1" x14ac:dyDescent="0.5">
      <c r="B6" s="7" t="s">
        <v>111</v>
      </c>
      <c r="C6" s="8"/>
      <c r="D6" s="8"/>
      <c r="E6" s="8"/>
      <c r="F6" s="8"/>
      <c r="G6" s="8"/>
      <c r="H6" s="8"/>
      <c r="I6" s="8"/>
      <c r="J6" s="8"/>
      <c r="K6" s="8"/>
      <c r="L6" s="8"/>
      <c r="M6" s="8"/>
      <c r="N6" s="8"/>
      <c r="O6" s="8"/>
    </row>
    <row r="7" spans="1:15" ht="18" customHeight="1" x14ac:dyDescent="0.45">
      <c r="B7" s="13" t="s">
        <v>112</v>
      </c>
    </row>
    <row r="8" spans="1:15" ht="18" customHeight="1" x14ac:dyDescent="0.45">
      <c r="B8" s="30" t="s">
        <v>113</v>
      </c>
      <c r="C8" s="30" t="s">
        <v>114</v>
      </c>
      <c r="D8" s="30" t="s">
        <v>115</v>
      </c>
      <c r="E8" s="30" t="s">
        <v>116</v>
      </c>
      <c r="F8" s="31"/>
      <c r="G8" s="31"/>
      <c r="H8" s="30" t="s">
        <v>117</v>
      </c>
      <c r="I8" s="31"/>
      <c r="J8" s="31"/>
      <c r="K8" s="31"/>
      <c r="L8" s="31"/>
      <c r="M8" s="30" t="s">
        <v>59</v>
      </c>
      <c r="N8" s="31"/>
      <c r="O8" s="30" t="s">
        <v>118</v>
      </c>
    </row>
    <row r="9" spans="1:15" x14ac:dyDescent="0.45">
      <c r="B9" s="32"/>
      <c r="C9" s="32"/>
      <c r="D9" s="32"/>
      <c r="E9" s="32" t="s">
        <v>119</v>
      </c>
      <c r="F9" s="32" t="s">
        <v>120</v>
      </c>
      <c r="G9" s="32" t="s">
        <v>121</v>
      </c>
      <c r="H9" s="32" t="s">
        <v>122</v>
      </c>
      <c r="I9" s="32" t="s">
        <v>123</v>
      </c>
      <c r="J9" s="32" t="s">
        <v>124</v>
      </c>
      <c r="K9" s="32" t="s">
        <v>125</v>
      </c>
      <c r="L9" s="32" t="s">
        <v>126</v>
      </c>
      <c r="M9" s="32" t="s">
        <v>124</v>
      </c>
      <c r="N9" s="32" t="s">
        <v>125</v>
      </c>
      <c r="O9" s="32"/>
    </row>
    <row r="10" spans="1:15" x14ac:dyDescent="0.45">
      <c r="B10" s="33" t="s">
        <v>127</v>
      </c>
      <c r="C10" s="25" t="s">
        <v>128</v>
      </c>
      <c r="D10" s="26" t="s">
        <v>124</v>
      </c>
      <c r="E10" s="34">
        <v>8</v>
      </c>
      <c r="F10" s="34">
        <v>10</v>
      </c>
      <c r="G10" s="34">
        <v>15</v>
      </c>
      <c r="H10" s="35" cm="1">
        <f t="array" aca="1" ref="H10" ca="1">_xll.VoseInput("A  Design and approvals","weeks")+_xll.VoseTriangle(E10,F10,G10)</f>
        <v>9.4456266367084751</v>
      </c>
      <c r="I10" s="36">
        <v>0</v>
      </c>
      <c r="J10" s="36">
        <f>0</f>
        <v>0</v>
      </c>
      <c r="K10" s="36">
        <f t="shared" ref="K10:K25" ca="1" si="0">J10+H10+I10</f>
        <v>9.4456266367084751</v>
      </c>
      <c r="L10" s="37">
        <f t="shared" ref="L10:L25" ca="1" si="1">StartDate+7*K10</f>
        <v>46457.119386456958</v>
      </c>
      <c r="M10" s="36">
        <f>0</f>
        <v>0</v>
      </c>
      <c r="N10" s="36">
        <f t="shared" ref="N10:N16" si="2">M10+F10</f>
        <v>10</v>
      </c>
      <c r="O10" s="26" t="s">
        <v>129</v>
      </c>
    </row>
    <row r="11" spans="1:15" x14ac:dyDescent="0.45">
      <c r="B11" s="33" t="s">
        <v>130</v>
      </c>
      <c r="C11" s="25" t="s">
        <v>131</v>
      </c>
      <c r="D11" s="26" t="s">
        <v>127</v>
      </c>
      <c r="E11" s="34">
        <v>9.6</v>
      </c>
      <c r="F11" s="34">
        <v>12</v>
      </c>
      <c r="G11" s="34">
        <v>18</v>
      </c>
      <c r="H11" s="35" cm="1">
        <f t="array" aca="1" ref="H11" ca="1">_xll.VoseInput("B  Site clearance","weeks")+_xll.VoseTriangle(E11,F11,G11)</f>
        <v>16.510747352953004</v>
      </c>
      <c r="I11" s="36">
        <v>0</v>
      </c>
      <c r="J11" s="36">
        <f ca="1">K10</f>
        <v>9.4456266367084751</v>
      </c>
      <c r="K11" s="36">
        <f t="shared" ca="1" si="0"/>
        <v>25.956373989661479</v>
      </c>
      <c r="L11" s="37">
        <f t="shared" ca="1" si="1"/>
        <v>46572.694617927627</v>
      </c>
      <c r="M11" s="36">
        <f>N10</f>
        <v>10</v>
      </c>
      <c r="N11" s="36">
        <f t="shared" si="2"/>
        <v>22</v>
      </c>
      <c r="O11" s="26" t="s">
        <v>132</v>
      </c>
    </row>
    <row r="12" spans="1:15" x14ac:dyDescent="0.45">
      <c r="B12" s="33" t="s">
        <v>133</v>
      </c>
      <c r="C12" s="25" t="s">
        <v>134</v>
      </c>
      <c r="D12" s="26" t="s">
        <v>127</v>
      </c>
      <c r="E12" s="34">
        <v>10.4</v>
      </c>
      <c r="F12" s="34">
        <v>13</v>
      </c>
      <c r="G12" s="34">
        <v>19.5</v>
      </c>
      <c r="H12" s="35" cm="1">
        <f t="array" aca="1" ref="H12" ca="1">_xll.VoseInput("C  Procure structural steel","weeks")+_xll.VoseTriangle(E12,F12,G12)</f>
        <v>14.167526061583413</v>
      </c>
      <c r="I12" s="36">
        <v>0</v>
      </c>
      <c r="J12" s="36">
        <f ca="1">K10</f>
        <v>9.4456266367084751</v>
      </c>
      <c r="K12" s="36">
        <f t="shared" ca="1" si="0"/>
        <v>23.613152698291888</v>
      </c>
      <c r="L12" s="37">
        <f t="shared" ca="1" si="1"/>
        <v>46556.29206888804</v>
      </c>
      <c r="M12" s="36">
        <f>N10</f>
        <v>10</v>
      </c>
      <c r="N12" s="36">
        <f t="shared" si="2"/>
        <v>23</v>
      </c>
      <c r="O12" s="26" t="s">
        <v>135</v>
      </c>
    </row>
    <row r="13" spans="1:15" x14ac:dyDescent="0.45">
      <c r="B13" s="33" t="s">
        <v>136</v>
      </c>
      <c r="C13" s="25" t="s">
        <v>137</v>
      </c>
      <c r="D13" s="26" t="s">
        <v>127</v>
      </c>
      <c r="E13" s="34">
        <v>6.4</v>
      </c>
      <c r="F13" s="34">
        <v>8</v>
      </c>
      <c r="G13" s="34">
        <v>12</v>
      </c>
      <c r="H13" s="35" cm="1">
        <f t="array" aca="1" ref="H13" ca="1">_xll.VoseInput("D  Detailed engineering","weeks")+_xll.VoseTriangle(E13,F13,G13)</f>
        <v>8.9027839506207656</v>
      </c>
      <c r="I13" s="36">
        <v>0</v>
      </c>
      <c r="J13" s="36">
        <f ca="1">K10</f>
        <v>9.4456266367084751</v>
      </c>
      <c r="K13" s="36">
        <f t="shared" ca="1" si="0"/>
        <v>18.348410587329241</v>
      </c>
      <c r="L13" s="37">
        <f t="shared" ca="1" si="1"/>
        <v>46519.438874111307</v>
      </c>
      <c r="M13" s="36">
        <f>N10</f>
        <v>10</v>
      </c>
      <c r="N13" s="36">
        <f t="shared" si="2"/>
        <v>18</v>
      </c>
      <c r="O13" s="26" t="s">
        <v>138</v>
      </c>
    </row>
    <row r="14" spans="1:15" x14ac:dyDescent="0.45">
      <c r="B14" s="33" t="s">
        <v>139</v>
      </c>
      <c r="C14" s="25" t="s">
        <v>140</v>
      </c>
      <c r="D14" s="26" t="s">
        <v>141</v>
      </c>
      <c r="E14" s="34">
        <v>5.6</v>
      </c>
      <c r="F14" s="34">
        <v>7</v>
      </c>
      <c r="G14" s="34">
        <v>10.5</v>
      </c>
      <c r="H14" s="35" cm="1">
        <f t="array" aca="1" ref="H14" ca="1">_xll.VoseInput("E  Foundations","weeks")+_xll.VoseTriangle(E14,F14,G14)</f>
        <v>8.3779774842252923</v>
      </c>
      <c r="I14" s="36">
        <v>0</v>
      </c>
      <c r="J14" s="36">
        <f ca="1">MAX(K11,K12,K13)</f>
        <v>25.956373989661479</v>
      </c>
      <c r="K14" s="36">
        <f t="shared" ca="1" si="0"/>
        <v>34.33435147388677</v>
      </c>
      <c r="L14" s="37">
        <f t="shared" ca="1" si="1"/>
        <v>46631.340460317209</v>
      </c>
      <c r="M14" s="36">
        <f>MAX(N11,N12,N13)</f>
        <v>23</v>
      </c>
      <c r="N14" s="36">
        <f t="shared" si="2"/>
        <v>30</v>
      </c>
      <c r="O14" s="26" t="s">
        <v>142</v>
      </c>
    </row>
    <row r="15" spans="1:15" x14ac:dyDescent="0.45">
      <c r="B15" s="33" t="s">
        <v>143</v>
      </c>
      <c r="C15" s="25" t="s">
        <v>144</v>
      </c>
      <c r="D15" s="26" t="s">
        <v>139</v>
      </c>
      <c r="E15" s="34">
        <v>7.2</v>
      </c>
      <c r="F15" s="34">
        <v>9</v>
      </c>
      <c r="G15" s="34">
        <v>13.5</v>
      </c>
      <c r="H15" s="35" cm="1">
        <f t="array" aca="1" ref="H15" ca="1">_xll.VoseInput("F  Steel frame","weeks")+_xll.VoseTriangle(E15,F15,G15)</f>
        <v>11.454249993659483</v>
      </c>
      <c r="I15" s="36">
        <v>0</v>
      </c>
      <c r="J15" s="36">
        <f ca="1">K14</f>
        <v>34.33435147388677</v>
      </c>
      <c r="K15" s="36">
        <f t="shared" ca="1" si="0"/>
        <v>45.78860146754625</v>
      </c>
      <c r="L15" s="37">
        <f t="shared" ca="1" si="1"/>
        <v>46711.520210272822</v>
      </c>
      <c r="M15" s="36">
        <f>N14</f>
        <v>30</v>
      </c>
      <c r="N15" s="36">
        <f t="shared" si="2"/>
        <v>39</v>
      </c>
      <c r="O15" s="28"/>
    </row>
    <row r="16" spans="1:15" x14ac:dyDescent="0.45">
      <c r="B16" s="33" t="s">
        <v>145</v>
      </c>
      <c r="C16" s="25" t="s">
        <v>146</v>
      </c>
      <c r="D16" s="26" t="s">
        <v>143</v>
      </c>
      <c r="E16" s="34">
        <v>8.8000000000000007</v>
      </c>
      <c r="F16" s="34">
        <v>11</v>
      </c>
      <c r="G16" s="34">
        <v>16.5</v>
      </c>
      <c r="H16" s="35" cm="1">
        <f t="array" aca="1" ref="H16" ca="1">_xll.VoseInput("G  Roof and cladding","weeks")+_xll.VoseTriangle(E16,F16,G16)</f>
        <v>15.531070569578517</v>
      </c>
      <c r="I16" s="36">
        <f ca="1">Delay_R1</f>
        <v>0</v>
      </c>
      <c r="J16" s="36">
        <f ca="1">K15</f>
        <v>45.78860146754625</v>
      </c>
      <c r="K16" s="36">
        <f t="shared" ca="1" si="0"/>
        <v>61.319672037124768</v>
      </c>
      <c r="L16" s="37">
        <f t="shared" ca="1" si="1"/>
        <v>46820.237704259875</v>
      </c>
      <c r="M16" s="36">
        <f>N15</f>
        <v>39</v>
      </c>
      <c r="N16" s="36">
        <f t="shared" si="2"/>
        <v>50</v>
      </c>
      <c r="O16" s="26" t="s">
        <v>147</v>
      </c>
    </row>
    <row r="17" spans="2:15" x14ac:dyDescent="0.45">
      <c r="B17" s="33" t="s">
        <v>148</v>
      </c>
      <c r="C17" s="25" t="s">
        <v>149</v>
      </c>
      <c r="D17" s="26" t="s">
        <v>141</v>
      </c>
      <c r="E17" s="38" t="s">
        <v>150</v>
      </c>
      <c r="F17" s="38" t="s">
        <v>150</v>
      </c>
      <c r="G17" s="38" t="s">
        <v>150</v>
      </c>
      <c r="H17" s="35" cm="1">
        <f t="array" aca="1" ref="H17" ca="1">_xll.VoseInput("H  Ground works","weeks")+H_Dur</f>
        <v>10.744245826957991</v>
      </c>
      <c r="I17" s="36">
        <v>0</v>
      </c>
      <c r="J17" s="36">
        <f ca="1">MAX(K11,K12,K13)</f>
        <v>25.956373989661479</v>
      </c>
      <c r="K17" s="36">
        <f t="shared" ca="1" si="0"/>
        <v>36.700619816619472</v>
      </c>
      <c r="L17" s="37">
        <f t="shared" ca="1" si="1"/>
        <v>46647.904338716333</v>
      </c>
      <c r="M17" s="36">
        <f>MAX(N11,N12,N13)</f>
        <v>23</v>
      </c>
      <c r="N17" s="36">
        <f>M17+H_PlanML</f>
        <v>30</v>
      </c>
      <c r="O17" s="26" t="s">
        <v>151</v>
      </c>
    </row>
    <row r="18" spans="2:15" x14ac:dyDescent="0.45">
      <c r="B18" s="33" t="s">
        <v>152</v>
      </c>
      <c r="C18" s="25" t="s">
        <v>153</v>
      </c>
      <c r="D18" s="26" t="s">
        <v>148</v>
      </c>
      <c r="E18" s="34">
        <v>4.8</v>
      </c>
      <c r="F18" s="34">
        <v>6</v>
      </c>
      <c r="G18" s="34">
        <v>9</v>
      </c>
      <c r="H18" s="35" cm="1">
        <f t="array" aca="1" ref="H18" ca="1">_xll.VoseInput("I  Drainage","weeks")+_xll.VoseTriangle(E18,F18,G18)</f>
        <v>6.3234035135351103</v>
      </c>
      <c r="I18" s="36">
        <v>0</v>
      </c>
      <c r="J18" s="36">
        <f ca="1">K17</f>
        <v>36.700619816619472</v>
      </c>
      <c r="K18" s="36">
        <f t="shared" ca="1" si="0"/>
        <v>43.024023330154584</v>
      </c>
      <c r="L18" s="37">
        <f t="shared" ca="1" si="1"/>
        <v>46692.168163311086</v>
      </c>
      <c r="M18" s="36">
        <f>N17</f>
        <v>30</v>
      </c>
      <c r="N18" s="36">
        <f t="shared" ref="N18:N25" si="3">M18+F18</f>
        <v>36</v>
      </c>
      <c r="O18" s="28"/>
    </row>
    <row r="19" spans="2:15" x14ac:dyDescent="0.45">
      <c r="B19" s="33" t="s">
        <v>154</v>
      </c>
      <c r="C19" s="25" t="s">
        <v>155</v>
      </c>
      <c r="D19" s="26" t="s">
        <v>152</v>
      </c>
      <c r="E19" s="34">
        <v>6.4</v>
      </c>
      <c r="F19" s="34">
        <v>8</v>
      </c>
      <c r="G19" s="34">
        <v>12</v>
      </c>
      <c r="H19" s="35" cm="1">
        <f t="array" aca="1" ref="H19" ca="1">_xll.VoseInput("J  Utility connections","weeks")+_xll.VoseTriangle(E19,F19,G19)</f>
        <v>10.937069528317917</v>
      </c>
      <c r="I19" s="36">
        <f ca="1">Delay_R2</f>
        <v>0</v>
      </c>
      <c r="J19" s="36">
        <f ca="1">K18</f>
        <v>43.024023330154584</v>
      </c>
      <c r="K19" s="36">
        <f t="shared" ca="1" si="0"/>
        <v>53.961092858472497</v>
      </c>
      <c r="L19" s="37">
        <f t="shared" ca="1" si="1"/>
        <v>46768.727650009307</v>
      </c>
      <c r="M19" s="36">
        <f>N18</f>
        <v>36</v>
      </c>
      <c r="N19" s="36">
        <f t="shared" si="3"/>
        <v>44</v>
      </c>
      <c r="O19" s="26" t="s">
        <v>156</v>
      </c>
    </row>
    <row r="20" spans="2:15" x14ac:dyDescent="0.45">
      <c r="B20" s="33" t="s">
        <v>157</v>
      </c>
      <c r="C20" s="25" t="s">
        <v>158</v>
      </c>
      <c r="D20" s="26" t="s">
        <v>141</v>
      </c>
      <c r="E20" s="34">
        <v>4</v>
      </c>
      <c r="F20" s="34">
        <v>5</v>
      </c>
      <c r="G20" s="34">
        <v>7.5</v>
      </c>
      <c r="H20" s="35" cm="1">
        <f t="array" aca="1" ref="H20" ca="1">_xll.VoseInput("K  Order process equipment","weeks")+_xll.VoseTriangle(E20,F20,G20)</f>
        <v>6.0077934590802897</v>
      </c>
      <c r="I20" s="36">
        <v>0</v>
      </c>
      <c r="J20" s="36">
        <f ca="1">MAX(K11,K12,K13)</f>
        <v>25.956373989661479</v>
      </c>
      <c r="K20" s="36">
        <f t="shared" ca="1" si="0"/>
        <v>31.964167448741769</v>
      </c>
      <c r="L20" s="37">
        <f t="shared" ca="1" si="1"/>
        <v>46614.749172141193</v>
      </c>
      <c r="M20" s="36">
        <f>MAX(N11,N12,N13)</f>
        <v>23</v>
      </c>
      <c r="N20" s="36">
        <f t="shared" si="3"/>
        <v>28</v>
      </c>
      <c r="O20" s="28"/>
    </row>
    <row r="21" spans="2:15" x14ac:dyDescent="0.45">
      <c r="B21" s="33" t="s">
        <v>159</v>
      </c>
      <c r="C21" s="25" t="s">
        <v>160</v>
      </c>
      <c r="D21" s="26" t="s">
        <v>157</v>
      </c>
      <c r="E21" s="34">
        <v>7.2</v>
      </c>
      <c r="F21" s="34">
        <v>9</v>
      </c>
      <c r="G21" s="34">
        <v>13.5</v>
      </c>
      <c r="H21" s="35" cm="1">
        <f t="array" aca="1" ref="H21" ca="1">_xll.VoseInput("L  Equipment manufacture","weeks")+_xll.VoseTriangle(E21,F21,G21)</f>
        <v>9.1702183178124912</v>
      </c>
      <c r="I21" s="36">
        <v>0</v>
      </c>
      <c r="J21" s="36">
        <f ca="1">K20</f>
        <v>31.964167448741769</v>
      </c>
      <c r="K21" s="36">
        <f t="shared" ca="1" si="0"/>
        <v>41.13438576655426</v>
      </c>
      <c r="L21" s="37">
        <f t="shared" ca="1" si="1"/>
        <v>46678.940700365878</v>
      </c>
      <c r="M21" s="36">
        <f>N20</f>
        <v>28</v>
      </c>
      <c r="N21" s="36">
        <f t="shared" si="3"/>
        <v>37</v>
      </c>
      <c r="O21" s="28"/>
    </row>
    <row r="22" spans="2:15" x14ac:dyDescent="0.45">
      <c r="B22" s="33" t="s">
        <v>161</v>
      </c>
      <c r="C22" s="25" t="s">
        <v>162</v>
      </c>
      <c r="D22" s="26" t="s">
        <v>159</v>
      </c>
      <c r="E22" s="34">
        <v>8.8000000000000007</v>
      </c>
      <c r="F22" s="34">
        <v>11</v>
      </c>
      <c r="G22" s="34">
        <v>16.5</v>
      </c>
      <c r="H22" s="35" cm="1">
        <f t="array" aca="1" ref="H22" ca="1">_xll.VoseInput("M  Equipment installation","weeks")+_xll.VoseTriangle(E22,F22,G22)</f>
        <v>15.640155078689565</v>
      </c>
      <c r="I22" s="36">
        <f ca="1">Delay_R3</f>
        <v>5.8730356646317663</v>
      </c>
      <c r="J22" s="36">
        <f ca="1">K21</f>
        <v>41.13438576655426</v>
      </c>
      <c r="K22" s="36">
        <f t="shared" ca="1" si="0"/>
        <v>62.647576509875591</v>
      </c>
      <c r="L22" s="37">
        <f t="shared" ca="1" si="1"/>
        <v>46829.533035569126</v>
      </c>
      <c r="M22" s="36">
        <f>N21</f>
        <v>37</v>
      </c>
      <c r="N22" s="36">
        <f t="shared" si="3"/>
        <v>48</v>
      </c>
      <c r="O22" s="26" t="s">
        <v>163</v>
      </c>
    </row>
    <row r="23" spans="2:15" x14ac:dyDescent="0.45">
      <c r="B23" s="33" t="s">
        <v>164</v>
      </c>
      <c r="C23" s="25" t="s">
        <v>165</v>
      </c>
      <c r="D23" s="26" t="s">
        <v>166</v>
      </c>
      <c r="E23" s="34">
        <v>8</v>
      </c>
      <c r="F23" s="34">
        <v>10</v>
      </c>
      <c r="G23" s="34">
        <v>15</v>
      </c>
      <c r="H23" s="35" cm="1">
        <f t="array" aca="1" ref="H23" ca="1">_xll.VoseInput("N  Commissioning","weeks")+_xll.VoseTriangle(E23,F23,G23)</f>
        <v>13.304460969656605</v>
      </c>
      <c r="I23" s="36">
        <v>0</v>
      </c>
      <c r="J23" s="36">
        <f ca="1">MAX(K16,K19,K22)</f>
        <v>62.647576509875591</v>
      </c>
      <c r="K23" s="36">
        <f t="shared" ca="1" si="0"/>
        <v>75.952037479532194</v>
      </c>
      <c r="L23" s="37">
        <f t="shared" ca="1" si="1"/>
        <v>46922.664262356724</v>
      </c>
      <c r="M23" s="36">
        <f>MAX(N16,N19,N22)</f>
        <v>50</v>
      </c>
      <c r="N23" s="36">
        <f t="shared" si="3"/>
        <v>60</v>
      </c>
      <c r="O23" s="28"/>
    </row>
    <row r="24" spans="2:15" x14ac:dyDescent="0.45">
      <c r="B24" s="33" t="s">
        <v>167</v>
      </c>
      <c r="C24" s="25" t="s">
        <v>168</v>
      </c>
      <c r="D24" s="26" t="s">
        <v>166</v>
      </c>
      <c r="E24" s="34">
        <v>8</v>
      </c>
      <c r="F24" s="34">
        <v>10</v>
      </c>
      <c r="G24" s="34">
        <v>15</v>
      </c>
      <c r="H24" s="35" cm="1">
        <f t="array" aca="1" ref="H24" ca="1">_xll.VoseInput("O  Fit-out","weeks")+_xll.VoseTriangle(E24,F24,G24)</f>
        <v>14.084957260912237</v>
      </c>
      <c r="I24" s="36">
        <v>0</v>
      </c>
      <c r="J24" s="36">
        <f ca="1">MAX(K16,K19,K22)</f>
        <v>62.647576509875591</v>
      </c>
      <c r="K24" s="36">
        <f t="shared" ca="1" si="0"/>
        <v>76.732533770787825</v>
      </c>
      <c r="L24" s="37">
        <f t="shared" ca="1" si="1"/>
        <v>46928.127736395516</v>
      </c>
      <c r="M24" s="36">
        <f>MAX(N16,N19,N22)</f>
        <v>50</v>
      </c>
      <c r="N24" s="36">
        <f t="shared" si="3"/>
        <v>60</v>
      </c>
      <c r="O24" s="28"/>
    </row>
    <row r="25" spans="2:15" x14ac:dyDescent="0.45">
      <c r="B25" s="33" t="s">
        <v>169</v>
      </c>
      <c r="C25" s="25" t="s">
        <v>170</v>
      </c>
      <c r="D25" s="26" t="s">
        <v>171</v>
      </c>
      <c r="E25" s="34">
        <v>6.4</v>
      </c>
      <c r="F25" s="34">
        <v>8</v>
      </c>
      <c r="G25" s="34">
        <v>12</v>
      </c>
      <c r="H25" s="35" cm="1">
        <f t="array" aca="1" ref="H25" ca="1">_xll.VoseInput("P  Handover tests","weeks")+_xll.VoseTriangle(E25,F25,G25)</f>
        <v>8.5201012768316708</v>
      </c>
      <c r="I25" s="36">
        <v>0</v>
      </c>
      <c r="J25" s="36">
        <f ca="1">MAX(K23,K24)</f>
        <v>76.732533770787825</v>
      </c>
      <c r="K25" s="36">
        <f t="shared" ca="1" si="0"/>
        <v>85.252635047619492</v>
      </c>
      <c r="L25" s="37">
        <f t="shared" ca="1" si="1"/>
        <v>46987.768445333335</v>
      </c>
      <c r="M25" s="36">
        <f>MAX(N23,N24)</f>
        <v>60</v>
      </c>
      <c r="N25" s="36">
        <f t="shared" si="3"/>
        <v>68</v>
      </c>
      <c r="O25" s="28"/>
    </row>
    <row r="26" spans="2:15" ht="8" customHeight="1" x14ac:dyDescent="0.45"/>
    <row r="27" spans="2:15" ht="22.05" customHeight="1" x14ac:dyDescent="0.5">
      <c r="B27" s="7" t="s">
        <v>172</v>
      </c>
      <c r="C27" s="8"/>
      <c r="D27" s="8"/>
      <c r="E27" s="8"/>
      <c r="F27" s="8"/>
      <c r="G27" s="8"/>
      <c r="H27" s="8"/>
      <c r="I27" s="8"/>
      <c r="J27" s="8"/>
      <c r="K27" s="8"/>
      <c r="L27" s="8"/>
      <c r="M27" s="8"/>
      <c r="N27" s="8"/>
      <c r="O27" s="8"/>
    </row>
    <row r="28" spans="2:15" ht="18" customHeight="1" x14ac:dyDescent="0.45">
      <c r="B28" s="13" t="s">
        <v>173</v>
      </c>
    </row>
    <row r="29" spans="2:15" ht="18" customHeight="1" x14ac:dyDescent="0.45">
      <c r="B29" s="30" t="s">
        <v>174</v>
      </c>
      <c r="C29" s="31"/>
      <c r="D29" s="39" t="s">
        <v>175</v>
      </c>
      <c r="E29" s="30" t="s">
        <v>116</v>
      </c>
      <c r="F29" s="31"/>
      <c r="G29" s="31"/>
      <c r="H29" s="39" t="s">
        <v>176</v>
      </c>
      <c r="I29" s="31"/>
      <c r="J29" s="31"/>
      <c r="K29" s="31"/>
      <c r="L29" s="31"/>
      <c r="M29" s="31"/>
      <c r="N29" s="31"/>
      <c r="O29" s="30" t="s">
        <v>118</v>
      </c>
    </row>
    <row r="30" spans="2:15" x14ac:dyDescent="0.45">
      <c r="B30" s="32"/>
      <c r="C30" s="32"/>
      <c r="D30" s="32"/>
      <c r="E30" s="32" t="s">
        <v>119</v>
      </c>
      <c r="F30" s="32" t="s">
        <v>120</v>
      </c>
      <c r="G30" s="32" t="s">
        <v>121</v>
      </c>
      <c r="H30" s="32" t="s">
        <v>177</v>
      </c>
      <c r="I30" s="32"/>
      <c r="J30" s="32"/>
      <c r="K30" s="32"/>
      <c r="L30" s="32"/>
      <c r="M30" s="32"/>
      <c r="N30" s="32"/>
      <c r="O30" s="32"/>
    </row>
    <row r="31" spans="2:15" x14ac:dyDescent="0.45">
      <c r="B31" s="33">
        <v>1</v>
      </c>
      <c r="C31" s="25" t="s">
        <v>178</v>
      </c>
      <c r="D31" s="40">
        <v>0.7</v>
      </c>
      <c r="E31" s="34">
        <v>6</v>
      </c>
      <c r="F31" s="34">
        <v>7</v>
      </c>
      <c r="G31" s="34">
        <v>9</v>
      </c>
      <c r="H31" s="35" cm="1">
        <f t="array" aca="1" ref="H31" ca="1">_xll.VoseTriangle(E31,F31,G31)</f>
        <v>7.6102946870939725</v>
      </c>
      <c r="I31" s="28"/>
      <c r="J31" s="28"/>
      <c r="K31" s="28"/>
      <c r="L31" s="28"/>
      <c r="M31" s="28"/>
      <c r="N31" s="28"/>
      <c r="O31" s="26" t="s">
        <v>179</v>
      </c>
    </row>
    <row r="32" spans="2:15" x14ac:dyDescent="0.45">
      <c r="B32" s="33">
        <v>2</v>
      </c>
      <c r="C32" s="25" t="s">
        <v>180</v>
      </c>
      <c r="D32" s="40">
        <v>0.2</v>
      </c>
      <c r="E32" s="34">
        <v>10</v>
      </c>
      <c r="F32" s="34">
        <v>12</v>
      </c>
      <c r="G32" s="34">
        <v>15</v>
      </c>
      <c r="H32" s="35" cm="1">
        <f t="array" aca="1" ref="H32" ca="1">_xll.VoseTriangle(E32,F32,G32)</f>
        <v>10.744245826957991</v>
      </c>
      <c r="I32" s="28"/>
      <c r="J32" s="28"/>
      <c r="K32" s="28"/>
      <c r="L32" s="28"/>
      <c r="M32" s="28"/>
      <c r="N32" s="28"/>
      <c r="O32" s="26" t="s">
        <v>181</v>
      </c>
    </row>
    <row r="33" spans="2:15" x14ac:dyDescent="0.45">
      <c r="B33" s="33">
        <v>3</v>
      </c>
      <c r="C33" s="25" t="s">
        <v>182</v>
      </c>
      <c r="D33" s="40">
        <v>0.1</v>
      </c>
      <c r="E33" s="34">
        <v>5</v>
      </c>
      <c r="F33" s="34">
        <v>6</v>
      </c>
      <c r="G33" s="34">
        <v>8</v>
      </c>
      <c r="H33" s="35" cm="1">
        <f t="array" aca="1" ref="H33" ca="1">_xll.VoseTriangle(E33,F33,G33)</f>
        <v>6.3415732919890893</v>
      </c>
      <c r="I33" s="28"/>
      <c r="J33" s="28"/>
      <c r="K33" s="28"/>
      <c r="L33" s="28"/>
      <c r="M33" s="28"/>
      <c r="N33" s="28"/>
      <c r="O33" s="26" t="s">
        <v>183</v>
      </c>
    </row>
    <row r="34" spans="2:15" x14ac:dyDescent="0.45">
      <c r="B34" s="28"/>
      <c r="C34" s="33" t="s">
        <v>184</v>
      </c>
      <c r="D34" s="41" cm="1">
        <f t="array" aca="1" ref="D34" ca="1">_xll.VoseDiscrete(B31:B33,D31:D33)</f>
        <v>2</v>
      </c>
      <c r="E34" s="28"/>
      <c r="F34" s="28"/>
      <c r="G34" s="28"/>
      <c r="H34" s="28"/>
      <c r="I34" s="28"/>
      <c r="J34" s="28"/>
      <c r="K34" s="28"/>
      <c r="L34" s="28"/>
      <c r="M34" s="28"/>
      <c r="N34" s="28"/>
      <c r="O34" s="26" t="s">
        <v>185</v>
      </c>
    </row>
    <row r="35" spans="2:15" x14ac:dyDescent="0.45">
      <c r="B35" s="28"/>
      <c r="C35" s="33" t="s">
        <v>186</v>
      </c>
      <c r="D35" s="28"/>
      <c r="E35" s="28"/>
      <c r="F35" s="28"/>
      <c r="G35" s="28"/>
      <c r="H35" s="36" cm="1">
        <f t="array" aca="1" ref="H35" ca="1">INDEX(H31:H33,H_Way)</f>
        <v>10.744245826957991</v>
      </c>
      <c r="I35" s="28"/>
      <c r="J35" s="28"/>
      <c r="K35" s="28"/>
      <c r="L35" s="28"/>
      <c r="M35" s="28"/>
      <c r="N35" s="28"/>
      <c r="O35" s="26" t="s">
        <v>187</v>
      </c>
    </row>
    <row r="36" spans="2:15" ht="8" customHeight="1" x14ac:dyDescent="0.45"/>
    <row r="37" spans="2:15" ht="22.05" customHeight="1" x14ac:dyDescent="0.5">
      <c r="B37" s="7" t="s">
        <v>188</v>
      </c>
      <c r="C37" s="8"/>
      <c r="D37" s="8"/>
      <c r="E37" s="8"/>
      <c r="F37" s="8"/>
      <c r="G37" s="8"/>
      <c r="H37" s="8"/>
      <c r="I37" s="8"/>
      <c r="J37" s="8"/>
      <c r="K37" s="8"/>
      <c r="L37" s="8"/>
      <c r="M37" s="8"/>
      <c r="N37" s="8"/>
      <c r="O37" s="8"/>
    </row>
    <row r="38" spans="2:15" ht="18" customHeight="1" x14ac:dyDescent="0.45">
      <c r="B38" s="13" t="s">
        <v>189</v>
      </c>
    </row>
    <row r="39" spans="2:15" ht="18" customHeight="1" x14ac:dyDescent="0.45">
      <c r="B39" s="30" t="s">
        <v>113</v>
      </c>
      <c r="C39" s="30" t="s">
        <v>190</v>
      </c>
      <c r="D39" s="30" t="s">
        <v>191</v>
      </c>
      <c r="E39" s="30" t="s">
        <v>192</v>
      </c>
      <c r="F39" s="31"/>
      <c r="G39" s="31"/>
      <c r="H39" s="39" t="s">
        <v>175</v>
      </c>
      <c r="I39" s="39" t="s">
        <v>193</v>
      </c>
      <c r="J39" s="30" t="s">
        <v>194</v>
      </c>
      <c r="K39" s="31"/>
      <c r="L39" s="31"/>
      <c r="M39" s="31"/>
      <c r="N39" s="31"/>
      <c r="O39" s="30" t="s">
        <v>118</v>
      </c>
    </row>
    <row r="40" spans="2:15" x14ac:dyDescent="0.45">
      <c r="B40" s="32"/>
      <c r="C40" s="32"/>
      <c r="D40" s="32"/>
      <c r="E40" s="32" t="s">
        <v>119</v>
      </c>
      <c r="F40" s="32" t="s">
        <v>120</v>
      </c>
      <c r="G40" s="32" t="s">
        <v>121</v>
      </c>
      <c r="H40" s="32" t="s">
        <v>195</v>
      </c>
      <c r="I40" s="32" t="s">
        <v>196</v>
      </c>
      <c r="J40" s="32" t="s">
        <v>197</v>
      </c>
      <c r="K40" s="32" t="s">
        <v>198</v>
      </c>
      <c r="L40" s="32" t="s">
        <v>199</v>
      </c>
      <c r="M40" s="32"/>
      <c r="N40" s="32"/>
      <c r="O40" s="32"/>
    </row>
    <row r="41" spans="2:15" x14ac:dyDescent="0.45">
      <c r="B41" s="33" t="s">
        <v>200</v>
      </c>
      <c r="C41" s="25" t="s">
        <v>201</v>
      </c>
      <c r="D41" s="26" t="s">
        <v>145</v>
      </c>
      <c r="E41" s="40">
        <v>0.2</v>
      </c>
      <c r="F41" s="40">
        <v>0.3</v>
      </c>
      <c r="G41" s="40">
        <v>0.5</v>
      </c>
      <c r="H41" s="40">
        <v>0.3</v>
      </c>
      <c r="I41" s="28"/>
      <c r="J41" s="42">
        <f>H41</f>
        <v>0.3</v>
      </c>
      <c r="K41" s="41" cm="1">
        <f t="array" aca="1" ref="K41" ca="1">_xll.VoseBernoulli(J41)</f>
        <v>0</v>
      </c>
      <c r="L41" s="35" cm="1">
        <f t="array" aca="1" ref="L41" ca="1">K41*_xll.VoseTriangle(E41,F41,G41)*H16</f>
        <v>0</v>
      </c>
      <c r="M41" s="28"/>
      <c r="N41" s="28"/>
      <c r="O41" s="26" t="s">
        <v>202</v>
      </c>
    </row>
    <row r="42" spans="2:15" x14ac:dyDescent="0.45">
      <c r="B42" s="33" t="s">
        <v>203</v>
      </c>
      <c r="C42" s="25" t="s">
        <v>204</v>
      </c>
      <c r="D42" s="26" t="s">
        <v>154</v>
      </c>
      <c r="E42" s="34">
        <v>3</v>
      </c>
      <c r="F42" s="34">
        <v>4</v>
      </c>
      <c r="G42" s="34">
        <v>6</v>
      </c>
      <c r="H42" s="40">
        <v>0.5</v>
      </c>
      <c r="I42" s="28"/>
      <c r="J42" s="42">
        <f>H42</f>
        <v>0.5</v>
      </c>
      <c r="K42" s="41" cm="1">
        <f t="array" aca="1" ref="K42" ca="1">_xll.VoseBernoulli(J42)</f>
        <v>0</v>
      </c>
      <c r="L42" s="35" cm="1">
        <f t="array" aca="1" ref="L42" ca="1">K42*_xll.VoseTriangle(E42,F42,G42)</f>
        <v>0</v>
      </c>
      <c r="M42" s="28"/>
      <c r="N42" s="28"/>
      <c r="O42" s="26" t="s">
        <v>205</v>
      </c>
    </row>
    <row r="43" spans="2:15" x14ac:dyDescent="0.45">
      <c r="B43" s="33" t="s">
        <v>206</v>
      </c>
      <c r="C43" s="25" t="s">
        <v>207</v>
      </c>
      <c r="D43" s="26" t="s">
        <v>161</v>
      </c>
      <c r="E43" s="34">
        <v>4</v>
      </c>
      <c r="F43" s="34">
        <v>6</v>
      </c>
      <c r="G43" s="34">
        <v>7</v>
      </c>
      <c r="H43" s="40">
        <v>0.2</v>
      </c>
      <c r="I43" s="40">
        <v>0.4</v>
      </c>
      <c r="J43" s="42">
        <f ca="1">IF(OR(K41=1,K42=1),I43,H43)</f>
        <v>0.2</v>
      </c>
      <c r="K43" s="41" cm="1">
        <f t="array" aca="1" ref="K43" ca="1">_xll.VoseBernoulli(J43)</f>
        <v>1</v>
      </c>
      <c r="L43" s="35" cm="1">
        <f t="array" aca="1" ref="L43" ca="1">K43*_xll.VoseTriangle(E43,F43,G43)</f>
        <v>5.8730356646317663</v>
      </c>
      <c r="M43" s="28"/>
      <c r="N43" s="28"/>
      <c r="O43" s="26" t="s">
        <v>208</v>
      </c>
    </row>
    <row r="44" spans="2:15" ht="8" customHeight="1" x14ac:dyDescent="0.45"/>
    <row r="45" spans="2:15" ht="22.05" customHeight="1" x14ac:dyDescent="0.5">
      <c r="B45" s="7" t="s">
        <v>209</v>
      </c>
      <c r="C45" s="8"/>
      <c r="D45" s="8"/>
      <c r="E45" s="8"/>
      <c r="F45" s="8"/>
      <c r="G45" s="8"/>
      <c r="H45" s="8"/>
      <c r="I45" s="8"/>
      <c r="J45" s="8"/>
      <c r="K45" s="8"/>
      <c r="L45" s="8"/>
      <c r="M45" s="8"/>
      <c r="N45" s="8"/>
      <c r="O45" s="8"/>
    </row>
    <row r="46" spans="2:15" ht="18" customHeight="1" x14ac:dyDescent="0.45">
      <c r="B46" s="13" t="s">
        <v>210</v>
      </c>
    </row>
    <row r="47" spans="2:15" ht="18" customHeight="1" x14ac:dyDescent="0.45">
      <c r="B47" s="5"/>
      <c r="C47" s="43" t="s">
        <v>211</v>
      </c>
      <c r="D47" s="43" t="s">
        <v>98</v>
      </c>
      <c r="E47" s="44" t="s">
        <v>212</v>
      </c>
      <c r="F47" s="5"/>
      <c r="G47" s="5"/>
      <c r="H47" s="5"/>
      <c r="I47" s="5"/>
      <c r="J47" s="5"/>
      <c r="K47" s="5"/>
      <c r="L47" s="5"/>
      <c r="M47" s="5"/>
      <c r="N47" s="5"/>
      <c r="O47" s="43" t="s">
        <v>213</v>
      </c>
    </row>
    <row r="48" spans="2:15" x14ac:dyDescent="0.45">
      <c r="B48" s="28"/>
      <c r="C48" s="25" t="s">
        <v>214</v>
      </c>
      <c r="D48" s="26" t="s">
        <v>177</v>
      </c>
      <c r="E48" s="45" cm="1">
        <f t="array" aca="1" ref="E48" ca="1">_xll.VoseOutput("Finish (weeks)","weeks")+Fin_P</f>
        <v>85.252635047619492</v>
      </c>
      <c r="F48" s="28"/>
      <c r="G48" s="28"/>
      <c r="H48" s="28"/>
      <c r="I48" s="28"/>
      <c r="J48" s="28"/>
      <c r="K48" s="28"/>
      <c r="L48" s="28"/>
      <c r="M48" s="28"/>
      <c r="N48" s="28"/>
      <c r="O48" s="26" t="s">
        <v>215</v>
      </c>
    </row>
    <row r="49" spans="2:15" x14ac:dyDescent="0.45">
      <c r="B49" s="28"/>
      <c r="C49" s="25" t="s">
        <v>216</v>
      </c>
      <c r="D49" s="26" t="s">
        <v>103</v>
      </c>
      <c r="E49" s="37">
        <f ca="1">StartDate+7*Finish</f>
        <v>46987.768445333335</v>
      </c>
      <c r="F49" s="28"/>
      <c r="G49" s="28"/>
      <c r="H49" s="28"/>
      <c r="I49" s="28"/>
      <c r="J49" s="28"/>
      <c r="K49" s="28"/>
      <c r="L49" s="28"/>
      <c r="M49" s="28"/>
      <c r="N49" s="28"/>
      <c r="O49" s="26"/>
    </row>
    <row r="50" spans="2:15" x14ac:dyDescent="0.45">
      <c r="B50" s="28"/>
      <c r="C50" s="25" t="s">
        <v>217</v>
      </c>
      <c r="D50" s="26" t="s">
        <v>177</v>
      </c>
      <c r="E50" s="36">
        <f>Plan_P</f>
        <v>68</v>
      </c>
      <c r="F50" s="28"/>
      <c r="G50" s="28"/>
      <c r="H50" s="28"/>
      <c r="I50" s="28"/>
      <c r="J50" s="28"/>
      <c r="K50" s="28"/>
      <c r="L50" s="28"/>
      <c r="M50" s="28"/>
      <c r="N50" s="28"/>
      <c r="O50" s="26" t="s">
        <v>218</v>
      </c>
    </row>
    <row r="51" spans="2:15" x14ac:dyDescent="0.45">
      <c r="B51" s="28"/>
      <c r="C51" s="25" t="s">
        <v>219</v>
      </c>
      <c r="D51" s="26" t="s">
        <v>177</v>
      </c>
      <c r="E51" s="36">
        <f>(ContractDate-StartDate)/7</f>
        <v>80</v>
      </c>
      <c r="F51" s="28"/>
      <c r="G51" s="28"/>
      <c r="H51" s="28"/>
      <c r="I51" s="28"/>
      <c r="J51" s="28"/>
      <c r="K51" s="28"/>
      <c r="L51" s="28"/>
      <c r="M51" s="28"/>
      <c r="N51" s="28"/>
      <c r="O51" s="26"/>
    </row>
    <row r="52" spans="2:15" x14ac:dyDescent="0.45">
      <c r="B52" s="28"/>
      <c r="C52" s="25" t="s">
        <v>220</v>
      </c>
      <c r="D52" s="26" t="s">
        <v>221</v>
      </c>
      <c r="E52" s="46">
        <f ca="1">IF(Finish&lt;=PlanFinish,1,0)</f>
        <v>0</v>
      </c>
      <c r="F52" s="28"/>
      <c r="G52" s="28"/>
      <c r="H52" s="28"/>
      <c r="I52" s="28"/>
      <c r="J52" s="28"/>
      <c r="K52" s="28"/>
      <c r="L52" s="28"/>
      <c r="M52" s="28"/>
      <c r="N52" s="28"/>
      <c r="O52" s="26"/>
    </row>
    <row r="53" spans="2:15" x14ac:dyDescent="0.45">
      <c r="B53" s="28"/>
      <c r="C53" s="25" t="s">
        <v>222</v>
      </c>
      <c r="D53" s="26" t="s">
        <v>221</v>
      </c>
      <c r="E53" s="46">
        <f ca="1">IF(Finish&lt;=ContractWeeks,1,0)</f>
        <v>0</v>
      </c>
      <c r="F53" s="28"/>
      <c r="G53" s="28"/>
      <c r="H53" s="28"/>
      <c r="I53" s="28"/>
      <c r="J53" s="28"/>
      <c r="K53" s="28"/>
      <c r="L53" s="28"/>
      <c r="M53" s="28"/>
      <c r="N53" s="28"/>
      <c r="O53" s="26"/>
    </row>
    <row r="54" spans="2:15" x14ac:dyDescent="0.45">
      <c r="B54" s="28"/>
      <c r="C54" s="25" t="s">
        <v>223</v>
      </c>
      <c r="D54" s="26" t="s">
        <v>221</v>
      </c>
      <c r="E54" s="46">
        <f ca="1">IF(Fin_G=MAX(Fin_G,Fin_J,Fin_M),1,0)</f>
        <v>0</v>
      </c>
      <c r="F54" s="28"/>
      <c r="G54" s="28"/>
      <c r="H54" s="28"/>
      <c r="I54" s="28"/>
      <c r="J54" s="28"/>
      <c r="K54" s="28"/>
      <c r="L54" s="28"/>
      <c r="M54" s="28"/>
      <c r="N54" s="28"/>
      <c r="O54" s="26"/>
    </row>
    <row r="55" spans="2:15" x14ac:dyDescent="0.45">
      <c r="B55" s="28"/>
      <c r="C55" s="25" t="s">
        <v>224</v>
      </c>
      <c r="D55" s="26" t="s">
        <v>221</v>
      </c>
      <c r="E55" s="46">
        <f ca="1">IF(Fin_J=MAX(Fin_G,Fin_J,Fin_M),1,0)</f>
        <v>0</v>
      </c>
      <c r="F55" s="28"/>
      <c r="G55" s="28"/>
      <c r="H55" s="28"/>
      <c r="I55" s="28"/>
      <c r="J55" s="28"/>
      <c r="K55" s="28"/>
      <c r="L55" s="28"/>
      <c r="M55" s="28"/>
      <c r="N55" s="28"/>
      <c r="O55" s="26"/>
    </row>
    <row r="56" spans="2:15" x14ac:dyDescent="0.45">
      <c r="B56" s="28"/>
      <c r="C56" s="25" t="s">
        <v>225</v>
      </c>
      <c r="D56" s="26" t="s">
        <v>221</v>
      </c>
      <c r="E56" s="46">
        <f ca="1">IF(Fin_M=MAX(Fin_G,Fin_J,Fin_M),1,0)</f>
        <v>1</v>
      </c>
      <c r="F56" s="28"/>
      <c r="G56" s="28"/>
      <c r="H56" s="28"/>
      <c r="I56" s="28"/>
      <c r="J56" s="28"/>
      <c r="K56" s="28"/>
      <c r="L56" s="28"/>
      <c r="M56" s="28"/>
      <c r="N56" s="28"/>
      <c r="O56" s="26"/>
    </row>
    <row r="57" spans="2:15" ht="8" customHeight="1" x14ac:dyDescent="0.45"/>
    <row r="58" spans="2:15" ht="22.05" customHeight="1" x14ac:dyDescent="0.5">
      <c r="B58" s="7" t="s">
        <v>226</v>
      </c>
      <c r="C58" s="8"/>
      <c r="D58" s="8"/>
      <c r="E58" s="8"/>
      <c r="F58" s="8"/>
      <c r="G58" s="8"/>
      <c r="H58" s="8"/>
      <c r="I58" s="8"/>
      <c r="J58" s="8"/>
      <c r="K58" s="8"/>
      <c r="L58" s="8"/>
      <c r="M58" s="8"/>
      <c r="N58" s="8"/>
      <c r="O58" s="8"/>
    </row>
    <row r="59" spans="2:15" ht="18" customHeight="1" x14ac:dyDescent="0.45">
      <c r="B59" s="13" t="s">
        <v>227</v>
      </c>
    </row>
    <row r="60" spans="2:15" x14ac:dyDescent="0.45">
      <c r="B60" s="28"/>
      <c r="C60" s="25" t="s">
        <v>228</v>
      </c>
      <c r="D60" s="28"/>
      <c r="E60" s="47" t="str">
        <f>IF(SUMPRODUCT(--(E10:E25&gt;F10:F25))+SUMPRODUCT(--(F10:F25&gt;G10:G25))+SUMPRODUCT(--(E31:E33&gt;F31:F33))+SUMPRODUCT(--(F31:F33&gt;G31:G33))+SUMPRODUCT(--(E41:E43&gt;F41:F43))+SUMPRODUCT(--(F41:F43&gt;G41:G43))=0,"OK","CHECK")</f>
        <v>OK</v>
      </c>
      <c r="F60" s="28"/>
      <c r="G60" s="28"/>
      <c r="H60" s="28"/>
      <c r="I60" s="28"/>
      <c r="J60" s="28"/>
      <c r="K60" s="28"/>
      <c r="L60" s="28"/>
      <c r="M60" s="28"/>
      <c r="N60" s="28"/>
      <c r="O60" s="28"/>
    </row>
    <row r="61" spans="2:15" x14ac:dyDescent="0.45">
      <c r="B61" s="28"/>
      <c r="C61" s="25" t="s">
        <v>229</v>
      </c>
      <c r="D61" s="28"/>
      <c r="E61" s="47" t="str">
        <f>IF(ABS(SUM(D31:D33)-1)&lt;0.0001,"OK","CHECK")</f>
        <v>OK</v>
      </c>
      <c r="F61" s="28"/>
      <c r="G61" s="28"/>
      <c r="H61" s="28"/>
      <c r="I61" s="28"/>
      <c r="J61" s="28"/>
      <c r="K61" s="28"/>
      <c r="L61" s="28"/>
      <c r="M61" s="28"/>
      <c r="N61" s="28"/>
      <c r="O61" s="28"/>
    </row>
    <row r="62" spans="2:15" x14ac:dyDescent="0.45">
      <c r="B62" s="28"/>
      <c r="C62" s="25" t="s">
        <v>230</v>
      </c>
      <c r="D62" s="28"/>
      <c r="E62" s="47" t="str">
        <f>IF(AND(MIN(H41:I43)&gt;=0,MAX(H41:I43)&lt;=1),"OK","CHECK")</f>
        <v>OK</v>
      </c>
      <c r="F62" s="28"/>
      <c r="G62" s="28"/>
      <c r="H62" s="28"/>
      <c r="I62" s="28"/>
      <c r="J62" s="28"/>
      <c r="K62" s="28"/>
      <c r="L62" s="28"/>
      <c r="M62" s="28"/>
      <c r="N62" s="28"/>
      <c r="O62" s="28"/>
    </row>
    <row r="63" spans="2:15" x14ac:dyDescent="0.45">
      <c r="B63" s="28"/>
      <c r="C63" s="25" t="s">
        <v>231</v>
      </c>
      <c r="D63" s="28"/>
      <c r="E63" s="47" t="str">
        <f>IF(ContractDate&gt;StartDate,"OK","CHECK")</f>
        <v>OK</v>
      </c>
      <c r="F63" s="28"/>
      <c r="G63" s="28"/>
      <c r="H63" s="28"/>
      <c r="I63" s="28"/>
      <c r="J63" s="28"/>
      <c r="K63" s="28"/>
      <c r="L63" s="28"/>
      <c r="M63" s="28"/>
      <c r="N63" s="28"/>
      <c r="O63" s="28"/>
    </row>
    <row r="64" spans="2:15" ht="14" customHeight="1" x14ac:dyDescent="0.45"/>
  </sheetData>
  <conditionalFormatting sqref="E60:E63">
    <cfRule type="expression" dxfId="4" priority="1">
      <formula>E60="CHECK"</formula>
    </cfRule>
  </conditionalFormatting>
  <dataValidations count="1">
    <dataValidation type="custom" showErrorMessage="1" errorTitle="Duration range" error="Low ≤ Most likely ≤ High." sqref="E10:G25 E31:G33" xr:uid="{00000000-0002-0000-0200-000000000000}">
      <formula1>AND($E10&lt;=$F10,$F10&lt;=$G10)</formula1>
    </dataValidation>
  </dataValidations>
  <hyperlinks>
    <hyperlink ref="B4" location="'Inputs'!A1" display="◂  Inputs" xr:uid="{00000000-0004-0000-0200-000000000000}"/>
    <hyperlink ref="O4" location="'Results'!A1" display="Next:  Results  ▸" xr:uid="{00000000-0004-0000-02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25"/>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232</v>
      </c>
      <c r="C3" s="1"/>
      <c r="D3" s="1"/>
      <c r="E3" s="1"/>
      <c r="F3" s="1"/>
      <c r="G3" s="1"/>
      <c r="H3" s="1"/>
      <c r="I3" s="1"/>
      <c r="J3" s="1"/>
      <c r="K3" s="1"/>
      <c r="L3" s="1"/>
      <c r="M3" s="1"/>
      <c r="N3" s="1"/>
      <c r="O3" s="1"/>
      <c r="P3" s="1"/>
      <c r="Q3" s="1"/>
      <c r="R3" s="1"/>
    </row>
    <row r="4" spans="1:18" ht="20" customHeight="1" x14ac:dyDescent="0.45">
      <c r="A4" s="5"/>
      <c r="B4" s="22" t="s">
        <v>233</v>
      </c>
      <c r="C4" s="5"/>
      <c r="D4" s="5"/>
      <c r="E4" s="5"/>
      <c r="F4" s="5"/>
      <c r="G4" s="5"/>
      <c r="H4" s="5"/>
      <c r="I4" s="5"/>
      <c r="J4" s="5"/>
      <c r="K4" s="5"/>
      <c r="L4" s="5"/>
      <c r="M4" s="5"/>
      <c r="N4" s="5"/>
      <c r="O4" s="5"/>
      <c r="P4" s="5"/>
      <c r="Q4" s="5"/>
      <c r="R4" s="5"/>
    </row>
    <row r="5" spans="1:18" ht="8" customHeight="1" x14ac:dyDescent="0.45"/>
    <row r="6" spans="1:18" ht="26" customHeight="1" x14ac:dyDescent="0.45">
      <c r="B6" s="48" t="str" cm="1">
        <f t="array" aca="1" ref="B6" ca="1">IF(ISNUMBER(_xll.VoseSimMean(Finish)),"✔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9"/>
      <c r="D6" s="49"/>
      <c r="E6" s="49"/>
      <c r="F6" s="49"/>
      <c r="G6" s="49"/>
    </row>
    <row r="7" spans="1:18" x14ac:dyDescent="0.45">
      <c r="B7" s="50"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234</v>
      </c>
      <c r="C9" s="8"/>
      <c r="D9" s="8"/>
      <c r="E9" s="8"/>
      <c r="F9" s="8"/>
      <c r="G9" s="8"/>
      <c r="I9" s="51" t="s">
        <v>235</v>
      </c>
      <c r="J9" s="8"/>
      <c r="K9" s="8"/>
      <c r="L9" s="8"/>
      <c r="M9" s="8"/>
      <c r="N9" s="8"/>
      <c r="O9" s="8"/>
      <c r="P9" s="8"/>
      <c r="Q9" s="8"/>
      <c r="R9" s="8"/>
    </row>
    <row r="10" spans="1:18" ht="18" customHeight="1" x14ac:dyDescent="0.45">
      <c r="B10" s="13" t="s">
        <v>236</v>
      </c>
    </row>
    <row r="11" spans="1:18" ht="18" customHeight="1" x14ac:dyDescent="0.45">
      <c r="B11" s="23" t="s">
        <v>237</v>
      </c>
      <c r="C11" s="23" t="s">
        <v>98</v>
      </c>
      <c r="D11" s="24" t="s">
        <v>212</v>
      </c>
      <c r="E11" s="5"/>
      <c r="F11" s="5"/>
      <c r="G11" s="5"/>
    </row>
    <row r="12" spans="1:18" x14ac:dyDescent="0.45">
      <c r="B12" s="52" t="s">
        <v>238</v>
      </c>
      <c r="C12" s="26" t="s">
        <v>177</v>
      </c>
      <c r="D12" s="36">
        <f>PlanFinish</f>
        <v>68</v>
      </c>
      <c r="E12" s="28"/>
      <c r="F12" s="28"/>
      <c r="G12" s="28"/>
    </row>
    <row r="13" spans="1:18" x14ac:dyDescent="0.45">
      <c r="B13" s="25" t="s">
        <v>239</v>
      </c>
      <c r="C13" s="26" t="s">
        <v>177</v>
      </c>
      <c r="D13" s="53" cm="1">
        <f t="array" aca="1" ref="D13" ca="1">_xll.VoseSimMean(Finish)</f>
        <v>78.899599612232677</v>
      </c>
      <c r="E13" s="28"/>
      <c r="F13" s="28"/>
      <c r="G13" s="28"/>
    </row>
    <row r="14" spans="1:18" x14ac:dyDescent="0.45">
      <c r="B14" s="25" t="s">
        <v>240</v>
      </c>
      <c r="C14" s="26" t="s">
        <v>197</v>
      </c>
      <c r="D14" s="54" cm="1">
        <f t="array" aca="1" ref="D14" ca="1">_xll.VoseSimMean(ByPlan)</f>
        <v>1.4E-3</v>
      </c>
      <c r="E14" s="28"/>
      <c r="F14" s="28"/>
      <c r="G14" s="28"/>
    </row>
    <row r="15" spans="1:18" x14ac:dyDescent="0.45">
      <c r="B15" s="52" t="s">
        <v>219</v>
      </c>
      <c r="C15" s="26" t="s">
        <v>177</v>
      </c>
      <c r="D15" s="36">
        <f>ContractWeeks</f>
        <v>80</v>
      </c>
      <c r="E15" s="28"/>
      <c r="F15" s="28"/>
      <c r="G15" s="28"/>
    </row>
    <row r="16" spans="1:18" ht="22.05" customHeight="1" x14ac:dyDescent="0.45">
      <c r="B16" s="33" t="s">
        <v>241</v>
      </c>
      <c r="C16" s="26" t="s">
        <v>197</v>
      </c>
      <c r="D16" s="55" cm="1">
        <f t="array" aca="1" ref="D16" ca="1">_xll.VoseSimMean(OnTime)</f>
        <v>0.61480000000000001</v>
      </c>
      <c r="E16" s="28"/>
      <c r="F16" s="28"/>
      <c r="G16" s="28"/>
    </row>
    <row r="17" spans="2:7" ht="8" customHeight="1" x14ac:dyDescent="0.45"/>
    <row r="18" spans="2:7" ht="22.05" customHeight="1" x14ac:dyDescent="0.5">
      <c r="B18" s="7" t="s">
        <v>242</v>
      </c>
      <c r="C18" s="8"/>
      <c r="D18" s="8"/>
      <c r="E18" s="8"/>
      <c r="F18" s="8"/>
      <c r="G18" s="8"/>
    </row>
    <row r="19" spans="2:7" ht="18" customHeight="1" x14ac:dyDescent="0.45">
      <c r="B19" s="13" t="s">
        <v>243</v>
      </c>
    </row>
    <row r="20" spans="2:7" ht="18" customHeight="1" x14ac:dyDescent="0.45">
      <c r="B20" s="23" t="s">
        <v>237</v>
      </c>
      <c r="C20" s="23" t="s">
        <v>98</v>
      </c>
      <c r="D20" s="24" t="s">
        <v>244</v>
      </c>
      <c r="E20" s="24" t="s">
        <v>245</v>
      </c>
      <c r="F20" s="24" t="s">
        <v>246</v>
      </c>
      <c r="G20" s="5"/>
    </row>
    <row r="21" spans="2:7" x14ac:dyDescent="0.45">
      <c r="B21" s="25" t="s">
        <v>247</v>
      </c>
      <c r="C21" s="26" t="s">
        <v>177</v>
      </c>
      <c r="D21" s="53" cm="1">
        <f t="array" aca="1" ref="D21" ca="1">_xll.VoseSimPercentile(Finish,0.5)</f>
        <v>78.754176557794977</v>
      </c>
      <c r="E21" s="53" cm="1">
        <f t="array" aca="1" ref="E21" ca="1">_xll.VoseSimPercentile(Finish,0.8)</f>
        <v>82.324111774998585</v>
      </c>
      <c r="F21" s="53" cm="1">
        <f t="array" aca="1" ref="F21" ca="1">_xll.VoseSimPercentile(Finish,0.9)</f>
        <v>84.193166913427063</v>
      </c>
      <c r="G21" s="28"/>
    </row>
    <row r="22" spans="2:7" x14ac:dyDescent="0.45">
      <c r="B22" s="33" t="s">
        <v>216</v>
      </c>
      <c r="C22" s="26" t="s">
        <v>103</v>
      </c>
      <c r="D22" s="56">
        <f ca="1">IFERROR(StartDate+7*D21,"–")</f>
        <v>46942.279235904563</v>
      </c>
      <c r="E22" s="56">
        <f ca="1">IFERROR(StartDate+7*E21,"–")</f>
        <v>46967.268782424988</v>
      </c>
      <c r="F22" s="56">
        <f ca="1">IFERROR(StartDate+7*F21,"–")</f>
        <v>46980.352168393991</v>
      </c>
      <c r="G22" s="28"/>
    </row>
    <row r="23" spans="2:7" ht="8" customHeight="1" x14ac:dyDescent="0.45"/>
    <row r="24" spans="2:7" ht="22.05" customHeight="1" x14ac:dyDescent="0.5">
      <c r="B24" s="7" t="s">
        <v>248</v>
      </c>
      <c r="C24" s="8"/>
      <c r="D24" s="8"/>
      <c r="E24" s="8"/>
      <c r="F24" s="8"/>
      <c r="G24" s="8"/>
    </row>
    <row r="25" spans="2:7" ht="18" customHeight="1" x14ac:dyDescent="0.45">
      <c r="B25" s="13" t="s">
        <v>249</v>
      </c>
    </row>
    <row r="26" spans="2:7" ht="18" customHeight="1" x14ac:dyDescent="0.45">
      <c r="B26" s="23" t="s">
        <v>250</v>
      </c>
      <c r="C26" s="23"/>
      <c r="D26" s="24" t="s">
        <v>175</v>
      </c>
      <c r="E26" s="5"/>
      <c r="F26" s="5"/>
      <c r="G26" s="5"/>
    </row>
    <row r="27" spans="2:7" x14ac:dyDescent="0.45">
      <c r="B27" s="25" t="s">
        <v>251</v>
      </c>
      <c r="C27" s="28"/>
      <c r="D27" s="54" cm="1">
        <f t="array" aca="1" ref="D27" ca="1">_xll.VoseSimMean(Crit_Roof)</f>
        <v>0.58109999999999995</v>
      </c>
      <c r="E27" s="28"/>
      <c r="F27" s="28"/>
      <c r="G27" s="28"/>
    </row>
    <row r="28" spans="2:7" x14ac:dyDescent="0.45">
      <c r="B28" s="25" t="s">
        <v>252</v>
      </c>
      <c r="C28" s="28"/>
      <c r="D28" s="54" cm="1">
        <f t="array" aca="1" ref="D28" ca="1">_xll.VoseSimMean(Crit_Util)</f>
        <v>8.5699999999999998E-2</v>
      </c>
      <c r="E28" s="28"/>
      <c r="F28" s="28"/>
      <c r="G28" s="28"/>
    </row>
    <row r="29" spans="2:7" x14ac:dyDescent="0.45">
      <c r="B29" s="25" t="s">
        <v>253</v>
      </c>
      <c r="C29" s="28"/>
      <c r="D29" s="54" cm="1">
        <f t="array" aca="1" ref="D29" ca="1">_xll.VoseSimMean(Crit_Equip)</f>
        <v>0.3332</v>
      </c>
      <c r="E29" s="28"/>
      <c r="F29" s="28"/>
      <c r="G29" s="28"/>
    </row>
    <row r="30" spans="2:7" x14ac:dyDescent="0.45">
      <c r="B30" s="57" t="s">
        <v>254</v>
      </c>
      <c r="C30" s="58"/>
      <c r="D30" s="59">
        <f ca="1">IF(ISNUMBER(D27),SUM(D27:D29),"–")</f>
        <v>1</v>
      </c>
      <c r="E30" s="58"/>
      <c r="F30" s="58"/>
      <c r="G30" s="58"/>
    </row>
    <row r="31" spans="2:7" ht="8" customHeight="1" x14ac:dyDescent="0.45"/>
    <row r="32" spans="2:7" ht="22.05" customHeight="1" x14ac:dyDescent="0.5">
      <c r="B32" s="7" t="s">
        <v>255</v>
      </c>
      <c r="C32" s="8"/>
      <c r="D32" s="8"/>
      <c r="E32" s="8"/>
      <c r="F32" s="8"/>
      <c r="G32" s="8"/>
    </row>
    <row r="33" spans="2:18" ht="18" customHeight="1" x14ac:dyDescent="0.45">
      <c r="B33" s="13" t="s">
        <v>256</v>
      </c>
    </row>
    <row r="34" spans="2:18" ht="18" customHeight="1" x14ac:dyDescent="0.45">
      <c r="B34" s="23" t="s">
        <v>190</v>
      </c>
      <c r="C34" s="5"/>
      <c r="D34" s="24" t="s">
        <v>175</v>
      </c>
      <c r="E34" s="24" t="s">
        <v>257</v>
      </c>
      <c r="F34" s="24" t="s">
        <v>258</v>
      </c>
      <c r="G34" s="5"/>
    </row>
    <row r="35" spans="2:18" x14ac:dyDescent="0.45">
      <c r="B35" s="25" t="s">
        <v>259</v>
      </c>
      <c r="C35" s="28"/>
      <c r="D35" s="42">
        <v>0.3</v>
      </c>
      <c r="E35" s="54" cm="1">
        <f t="array" aca="1" ref="E35" ca="1">_xll.VoseSimMean(Hap_R1)</f>
        <v>0.30759999999999998</v>
      </c>
      <c r="F35" s="60" cm="1">
        <f t="array" aca="1" ref="F35" ca="1">_xll.VoseSimMean(Delay_R1)</f>
        <v>1.2345275433855274</v>
      </c>
      <c r="G35" s="28"/>
    </row>
    <row r="36" spans="2:18" x14ac:dyDescent="0.45">
      <c r="B36" s="25" t="s">
        <v>260</v>
      </c>
      <c r="C36" s="28"/>
      <c r="D36" s="42">
        <v>0.5</v>
      </c>
      <c r="E36" s="54" cm="1">
        <f t="array" aca="1" ref="E36" ca="1">_xll.VoseSimMean(Hap_R2)</f>
        <v>0.50470000000000004</v>
      </c>
      <c r="F36" s="60" cm="1">
        <f t="array" aca="1" ref="F36" ca="1">_xll.VoseSimMean(Delay_R2)</f>
        <v>2.1854697207904628</v>
      </c>
      <c r="G36" s="28"/>
    </row>
    <row r="37" spans="2:18" x14ac:dyDescent="0.45">
      <c r="B37" s="25" t="s">
        <v>261</v>
      </c>
      <c r="C37" s="28"/>
      <c r="D37" s="42">
        <v>0.2</v>
      </c>
      <c r="E37" s="54" cm="1">
        <f t="array" aca="1" ref="E37" ca="1">_xll.VoseSimMean(Hap_R3)</f>
        <v>0.33379999999999999</v>
      </c>
      <c r="F37" s="60" cm="1">
        <f t="array" aca="1" ref="F37" ca="1">_xll.VoseSimMean(Delay_R3)</f>
        <v>1.8924083723939198</v>
      </c>
      <c r="G37" s="28"/>
    </row>
    <row r="38" spans="2:18" ht="22.05" customHeight="1" x14ac:dyDescent="0.5">
      <c r="B38" s="7" t="s">
        <v>262</v>
      </c>
      <c r="C38" s="8"/>
      <c r="D38" s="8"/>
      <c r="E38" s="8"/>
      <c r="F38" s="8"/>
      <c r="G38" s="8"/>
      <c r="I38" s="51" t="s">
        <v>263</v>
      </c>
      <c r="J38" s="8"/>
      <c r="K38" s="8"/>
      <c r="L38" s="8"/>
      <c r="M38" s="8"/>
      <c r="N38" s="8"/>
      <c r="O38" s="8"/>
      <c r="P38" s="8"/>
      <c r="Q38" s="8"/>
      <c r="R38" s="8"/>
    </row>
    <row r="39" spans="2:18" ht="18" customHeight="1" x14ac:dyDescent="0.45">
      <c r="B39" s="13" t="s">
        <v>264</v>
      </c>
    </row>
    <row r="40" spans="2:18" ht="18" customHeight="1" x14ac:dyDescent="0.45">
      <c r="B40" s="23" t="s">
        <v>265</v>
      </c>
      <c r="C40" s="24" t="s">
        <v>266</v>
      </c>
      <c r="D40" s="24" t="s">
        <v>267</v>
      </c>
      <c r="E40" s="61" t="s">
        <v>268</v>
      </c>
      <c r="F40" s="5"/>
      <c r="G40" s="5"/>
    </row>
    <row r="41" spans="2:18" x14ac:dyDescent="0.45">
      <c r="B41" s="25" t="str">
        <f t="array" aca="1" ref="B41:E50" ca="1">_xll.VoseSimSensitivityMean(Finish,10,1,FALSE)</f>
        <v>A  Design and approvals</v>
      </c>
      <c r="C41" s="53">
        <f ca="1"/>
        <v>76.826531177489386</v>
      </c>
      <c r="D41" s="53">
        <f ca="1"/>
        <v>81.532364181273877</v>
      </c>
      <c r="E41" s="62">
        <f ca="1"/>
        <v>1</v>
      </c>
      <c r="F41" s="28"/>
      <c r="G41" s="28"/>
    </row>
    <row r="42" spans="2:18" x14ac:dyDescent="0.45">
      <c r="B42" s="25" t="str">
        <f ca="1"/>
        <v>C  Procure structural steel</v>
      </c>
      <c r="C42" s="53">
        <f ca="1"/>
        <v>77.459317850992605</v>
      </c>
      <c r="D42" s="53">
        <f ca="1"/>
        <v>81.71636610373011</v>
      </c>
      <c r="E42" s="62">
        <f ca="1"/>
        <v>2</v>
      </c>
      <c r="F42" s="28"/>
      <c r="G42" s="28"/>
    </row>
    <row r="43" spans="2:18" x14ac:dyDescent="0.45">
      <c r="B43" s="25" t="str">
        <f ca="1"/>
        <v>G  Roof and cladding</v>
      </c>
      <c r="C43" s="53">
        <f ca="1"/>
        <v>77.407989647675322</v>
      </c>
      <c r="D43" s="53">
        <f ca="1"/>
        <v>81.18053311855104</v>
      </c>
      <c r="E43" s="62">
        <f ca="1"/>
        <v>3</v>
      </c>
      <c r="F43" s="28"/>
      <c r="G43" s="28"/>
    </row>
    <row r="44" spans="2:18" x14ac:dyDescent="0.45">
      <c r="B44" s="25" t="str">
        <f ca="1"/>
        <v>P  Handover tests</v>
      </c>
      <c r="C44" s="53">
        <f ca="1"/>
        <v>77.325416559059036</v>
      </c>
      <c r="D44" s="53">
        <f ca="1"/>
        <v>81.011246449618781</v>
      </c>
      <c r="E44" s="62">
        <f ca="1"/>
        <v>4</v>
      </c>
      <c r="F44" s="28"/>
      <c r="G44" s="28"/>
    </row>
    <row r="45" spans="2:18" x14ac:dyDescent="0.45">
      <c r="B45" s="25" t="str">
        <f ca="1"/>
        <v>N  Commissioning</v>
      </c>
      <c r="C45" s="53">
        <f ca="1"/>
        <v>77.951091351195984</v>
      </c>
      <c r="D45" s="53">
        <f ca="1"/>
        <v>80.960944755555488</v>
      </c>
      <c r="E45" s="62">
        <f ca="1"/>
        <v>5</v>
      </c>
      <c r="F45" s="28"/>
      <c r="G45" s="28"/>
    </row>
    <row r="46" spans="2:18" x14ac:dyDescent="0.45">
      <c r="B46" s="25" t="str">
        <f ca="1"/>
        <v>O  Fit-out</v>
      </c>
      <c r="C46" s="53">
        <f ca="1"/>
        <v>77.850946373298754</v>
      </c>
      <c r="D46" s="53">
        <f ca="1"/>
        <v>80.781325648707238</v>
      </c>
      <c r="E46" s="62">
        <f ca="1"/>
        <v>6</v>
      </c>
      <c r="F46" s="28"/>
      <c r="G46" s="28"/>
    </row>
    <row r="47" spans="2:18" x14ac:dyDescent="0.45">
      <c r="B47" s="25" t="str">
        <f ca="1"/>
        <v>F  Steel frame</v>
      </c>
      <c r="C47" s="53">
        <f ca="1"/>
        <v>78.013590939217892</v>
      </c>
      <c r="D47" s="53">
        <f ca="1"/>
        <v>80.459203832442739</v>
      </c>
      <c r="E47" s="62">
        <f ca="1"/>
        <v>7</v>
      </c>
      <c r="F47" s="28"/>
      <c r="G47" s="28"/>
    </row>
    <row r="48" spans="2:18" x14ac:dyDescent="0.45">
      <c r="B48" s="25" t="str">
        <f ca="1"/>
        <v>B  Site clearance</v>
      </c>
      <c r="C48" s="53">
        <f ca="1"/>
        <v>78.144497070822595</v>
      </c>
      <c r="D48" s="53">
        <f ca="1"/>
        <v>80.479852220948416</v>
      </c>
      <c r="E48" s="62">
        <f ca="1"/>
        <v>8</v>
      </c>
      <c r="F48" s="28"/>
      <c r="G48" s="28"/>
    </row>
    <row r="49" spans="2:7" x14ac:dyDescent="0.45">
      <c r="B49" s="25" t="str">
        <f ca="1"/>
        <v>E  Foundations</v>
      </c>
      <c r="C49" s="53">
        <f ca="1"/>
        <v>78.188967520994566</v>
      </c>
      <c r="D49" s="53">
        <f ca="1"/>
        <v>80.256096192033453</v>
      </c>
      <c r="E49" s="62">
        <f ca="1"/>
        <v>9</v>
      </c>
      <c r="F49" s="28"/>
      <c r="G49" s="28"/>
    </row>
    <row r="50" spans="2:7" x14ac:dyDescent="0.45">
      <c r="B50" s="25" t="str">
        <f ca="1"/>
        <v>M  Equipment installation</v>
      </c>
      <c r="C50" s="53">
        <f ca="1"/>
        <v>78.326179499468381</v>
      </c>
      <c r="D50" s="53">
        <f ca="1"/>
        <v>80.230519114294282</v>
      </c>
      <c r="E50" s="62">
        <f ca="1"/>
        <v>10</v>
      </c>
      <c r="F50" s="28"/>
      <c r="G50" s="28"/>
    </row>
    <row r="53" spans="2:7" ht="22.05" customHeight="1" x14ac:dyDescent="0.5">
      <c r="B53" s="7" t="s">
        <v>269</v>
      </c>
      <c r="C53" s="8"/>
      <c r="D53" s="8"/>
      <c r="E53" s="8"/>
      <c r="F53" s="8"/>
      <c r="G53" s="8"/>
    </row>
    <row r="54" spans="2:7" ht="45" customHeight="1" x14ac:dyDescent="0.45">
      <c r="B54" s="69" t="s">
        <v>270</v>
      </c>
      <c r="C54" s="70"/>
      <c r="D54" s="70"/>
      <c r="E54" s="70"/>
      <c r="F54" s="70"/>
      <c r="G54" s="70"/>
    </row>
    <row r="55" spans="2:7" ht="19.05" customHeight="1" x14ac:dyDescent="0.45">
      <c r="B55" s="69" t="s">
        <v>271</v>
      </c>
      <c r="C55" s="70"/>
      <c r="D55" s="70"/>
      <c r="E55" s="70"/>
      <c r="F55" s="70"/>
      <c r="G55" s="70"/>
    </row>
    <row r="56" spans="2:7" ht="32" customHeight="1" x14ac:dyDescent="0.45">
      <c r="B56" s="69" t="s">
        <v>272</v>
      </c>
      <c r="C56" s="70"/>
      <c r="D56" s="70"/>
      <c r="E56" s="70"/>
      <c r="F56" s="70"/>
      <c r="G56" s="70"/>
    </row>
    <row r="57" spans="2:7" ht="32" customHeight="1" x14ac:dyDescent="0.45">
      <c r="B57" s="69" t="s">
        <v>273</v>
      </c>
      <c r="C57" s="70"/>
      <c r="D57" s="70"/>
      <c r="E57" s="70"/>
      <c r="F57" s="70"/>
      <c r="G57" s="70"/>
    </row>
    <row r="58" spans="2:7" ht="14" customHeight="1" x14ac:dyDescent="0.45"/>
    <row r="59" spans="2:7" ht="14" customHeight="1" x14ac:dyDescent="0.45"/>
    <row r="60" spans="2:7" ht="22.05" customHeight="1" x14ac:dyDescent="0.5">
      <c r="B60" s="7" t="s">
        <v>274</v>
      </c>
      <c r="C60" s="8"/>
      <c r="D60" s="8"/>
      <c r="E60" s="8"/>
      <c r="F60" s="8"/>
      <c r="G60" s="8"/>
    </row>
    <row r="61" spans="2:7" ht="18" customHeight="1" x14ac:dyDescent="0.45">
      <c r="B61" s="13" t="s">
        <v>275</v>
      </c>
    </row>
    <row r="62" spans="2:7" ht="28.05" hidden="1" customHeight="1" outlineLevel="1" x14ac:dyDescent="0.45">
      <c r="B62" s="24" t="s">
        <v>276</v>
      </c>
      <c r="C62" s="24" t="s">
        <v>277</v>
      </c>
      <c r="D62" s="24" t="s">
        <v>247</v>
      </c>
      <c r="E62" s="24" t="s">
        <v>278</v>
      </c>
      <c r="F62" s="24" t="s">
        <v>279</v>
      </c>
      <c r="G62" s="5"/>
    </row>
    <row r="63" spans="2:7" hidden="1" outlineLevel="1" x14ac:dyDescent="0.45">
      <c r="B63" s="63">
        <v>0.01</v>
      </c>
      <c r="C63" s="63">
        <f t="shared" ref="C63:C94" si="0">1-B63</f>
        <v>0.99</v>
      </c>
      <c r="D63" s="64" cm="1">
        <f t="array" aca="1" ref="D63" ca="1">IF(ISNUMBER(_xll.VoseSimPercentile(Finish,$B63)),_xll.VoseSimPercentile(Finish,$B63),NA())</f>
        <v>70.084376796257359</v>
      </c>
      <c r="E63" s="64">
        <f t="shared" ref="E63:E94" si="1">PlanFinish</f>
        <v>68</v>
      </c>
      <c r="F63" s="64">
        <f t="shared" ref="F63:F94" si="2">ContractWeeks</f>
        <v>80</v>
      </c>
    </row>
    <row r="64" spans="2:7" hidden="1" outlineLevel="1" x14ac:dyDescent="0.45">
      <c r="B64" s="63">
        <v>0.03</v>
      </c>
      <c r="C64" s="63">
        <f t="shared" si="0"/>
        <v>0.97</v>
      </c>
      <c r="D64" s="64" cm="1">
        <f t="array" aca="1" ref="D64" ca="1">IF(ISNUMBER(_xll.VoseSimPercentile(Finish,$B64)),_xll.VoseSimPercentile(Finish,$B64),NA())</f>
        <v>71.636569316542761</v>
      </c>
      <c r="E64" s="64">
        <f t="shared" si="1"/>
        <v>68</v>
      </c>
      <c r="F64" s="64">
        <f t="shared" si="2"/>
        <v>80</v>
      </c>
    </row>
    <row r="65" spans="2:6" hidden="1" outlineLevel="1" x14ac:dyDescent="0.45">
      <c r="B65" s="63">
        <v>0.05</v>
      </c>
      <c r="C65" s="63">
        <f t="shared" si="0"/>
        <v>0.95</v>
      </c>
      <c r="D65" s="64" cm="1">
        <f t="array" aca="1" ref="D65" ca="1">IF(ISNUMBER(_xll.VoseSimPercentile(Finish,$B65)),_xll.VoseSimPercentile(Finish,$B65),NA())</f>
        <v>72.441966842865568</v>
      </c>
      <c r="E65" s="64">
        <f t="shared" si="1"/>
        <v>68</v>
      </c>
      <c r="F65" s="64">
        <f t="shared" si="2"/>
        <v>80</v>
      </c>
    </row>
    <row r="66" spans="2:6" hidden="1" outlineLevel="1" x14ac:dyDescent="0.45">
      <c r="B66" s="63">
        <v>7.0000000000000007E-2</v>
      </c>
      <c r="C66" s="63">
        <f t="shared" si="0"/>
        <v>0.92999999999999994</v>
      </c>
      <c r="D66" s="64" cm="1">
        <f t="array" aca="1" ref="D66" ca="1">IF(ISNUMBER(_xll.VoseSimPercentile(Finish,$B66)),_xll.VoseSimPercentile(Finish,$B66),NA())</f>
        <v>73.068261031958841</v>
      </c>
      <c r="E66" s="64">
        <f t="shared" si="1"/>
        <v>68</v>
      </c>
      <c r="F66" s="64">
        <f t="shared" si="2"/>
        <v>80</v>
      </c>
    </row>
    <row r="67" spans="2:6" hidden="1" outlineLevel="1" x14ac:dyDescent="0.45">
      <c r="B67" s="63">
        <v>0.09</v>
      </c>
      <c r="C67" s="63">
        <f t="shared" si="0"/>
        <v>0.91</v>
      </c>
      <c r="D67" s="64" cm="1">
        <f t="array" aca="1" ref="D67" ca="1">IF(ISNUMBER(_xll.VoseSimPercentile(Finish,$B67)),_xll.VoseSimPercentile(Finish,$B67),NA())</f>
        <v>73.55408839751135</v>
      </c>
      <c r="E67" s="64">
        <f t="shared" si="1"/>
        <v>68</v>
      </c>
      <c r="F67" s="64">
        <f t="shared" si="2"/>
        <v>80</v>
      </c>
    </row>
    <row r="68" spans="2:6" hidden="1" outlineLevel="1" x14ac:dyDescent="0.45">
      <c r="B68" s="63">
        <v>0.11</v>
      </c>
      <c r="C68" s="63">
        <f t="shared" si="0"/>
        <v>0.89</v>
      </c>
      <c r="D68" s="64" cm="1">
        <f t="array" aca="1" ref="D68" ca="1">IF(ISNUMBER(_xll.VoseSimPercentile(Finish,$B68)),_xll.VoseSimPercentile(Finish,$B68),NA())</f>
        <v>73.948718801298426</v>
      </c>
      <c r="E68" s="64">
        <f t="shared" si="1"/>
        <v>68</v>
      </c>
      <c r="F68" s="64">
        <f t="shared" si="2"/>
        <v>80</v>
      </c>
    </row>
    <row r="69" spans="2:6" hidden="1" outlineLevel="1" x14ac:dyDescent="0.45">
      <c r="B69" s="63">
        <v>0.13</v>
      </c>
      <c r="C69" s="63">
        <f t="shared" si="0"/>
        <v>0.87</v>
      </c>
      <c r="D69" s="64" cm="1">
        <f t="array" aca="1" ref="D69" ca="1">IF(ISNUMBER(_xll.VoseSimPercentile(Finish,$B69)),_xll.VoseSimPercentile(Finish,$B69),NA())</f>
        <v>74.283159161390913</v>
      </c>
      <c r="E69" s="64">
        <f t="shared" si="1"/>
        <v>68</v>
      </c>
      <c r="F69" s="64">
        <f t="shared" si="2"/>
        <v>80</v>
      </c>
    </row>
    <row r="70" spans="2:6" hidden="1" outlineLevel="1" x14ac:dyDescent="0.45">
      <c r="B70" s="63">
        <v>0.15</v>
      </c>
      <c r="C70" s="63">
        <f t="shared" si="0"/>
        <v>0.85</v>
      </c>
      <c r="D70" s="64" cm="1">
        <f t="array" aca="1" ref="D70" ca="1">IF(ISNUMBER(_xll.VoseSimPercentile(Finish,$B70)),_xll.VoseSimPercentile(Finish,$B70),NA())</f>
        <v>74.61928427801665</v>
      </c>
      <c r="E70" s="64">
        <f t="shared" si="1"/>
        <v>68</v>
      </c>
      <c r="F70" s="64">
        <f t="shared" si="2"/>
        <v>80</v>
      </c>
    </row>
    <row r="71" spans="2:6" hidden="1" outlineLevel="1" x14ac:dyDescent="0.45">
      <c r="B71" s="63">
        <v>0.17</v>
      </c>
      <c r="C71" s="63">
        <f t="shared" si="0"/>
        <v>0.83</v>
      </c>
      <c r="D71" s="64" cm="1">
        <f t="array" aca="1" ref="D71" ca="1">IF(ISNUMBER(_xll.VoseSimPercentile(Finish,$B71)),_xll.VoseSimPercentile(Finish,$B71),NA())</f>
        <v>74.984087180726718</v>
      </c>
      <c r="E71" s="64">
        <f t="shared" si="1"/>
        <v>68</v>
      </c>
      <c r="F71" s="64">
        <f t="shared" si="2"/>
        <v>80</v>
      </c>
    </row>
    <row r="72" spans="2:6" hidden="1" outlineLevel="1" x14ac:dyDescent="0.45">
      <c r="B72" s="63">
        <v>0.19</v>
      </c>
      <c r="C72" s="63">
        <f t="shared" si="0"/>
        <v>0.81</v>
      </c>
      <c r="D72" s="64" cm="1">
        <f t="array" aca="1" ref="D72" ca="1">IF(ISNUMBER(_xll.VoseSimPercentile(Finish,$B72)),_xll.VoseSimPercentile(Finish,$B72),NA())</f>
        <v>75.315983963665445</v>
      </c>
      <c r="E72" s="64">
        <f t="shared" si="1"/>
        <v>68</v>
      </c>
      <c r="F72" s="64">
        <f t="shared" si="2"/>
        <v>80</v>
      </c>
    </row>
    <row r="73" spans="2:6" hidden="1" outlineLevel="1" x14ac:dyDescent="0.45">
      <c r="B73" s="63">
        <v>0.21</v>
      </c>
      <c r="C73" s="63">
        <f t="shared" si="0"/>
        <v>0.79</v>
      </c>
      <c r="D73" s="64" cm="1">
        <f t="array" aca="1" ref="D73" ca="1">IF(ISNUMBER(_xll.VoseSimPercentile(Finish,$B73)),_xll.VoseSimPercentile(Finish,$B73),NA())</f>
        <v>75.584862421369508</v>
      </c>
      <c r="E73" s="64">
        <f t="shared" si="1"/>
        <v>68</v>
      </c>
      <c r="F73" s="64">
        <f t="shared" si="2"/>
        <v>80</v>
      </c>
    </row>
    <row r="74" spans="2:6" hidden="1" outlineLevel="1" x14ac:dyDescent="0.45">
      <c r="B74" s="63">
        <v>0.23</v>
      </c>
      <c r="C74" s="63">
        <f t="shared" si="0"/>
        <v>0.77</v>
      </c>
      <c r="D74" s="64" cm="1">
        <f t="array" aca="1" ref="D74" ca="1">IF(ISNUMBER(_xll.VoseSimPercentile(Finish,$B74)),_xll.VoseSimPercentile(Finish,$B74),NA())</f>
        <v>75.848598190780635</v>
      </c>
      <c r="E74" s="64">
        <f t="shared" si="1"/>
        <v>68</v>
      </c>
      <c r="F74" s="64">
        <f t="shared" si="2"/>
        <v>80</v>
      </c>
    </row>
    <row r="75" spans="2:6" hidden="1" outlineLevel="1" x14ac:dyDescent="0.45">
      <c r="B75" s="63">
        <v>0.25</v>
      </c>
      <c r="C75" s="63">
        <f t="shared" si="0"/>
        <v>0.75</v>
      </c>
      <c r="D75" s="64" cm="1">
        <f t="array" aca="1" ref="D75" ca="1">IF(ISNUMBER(_xll.VoseSimPercentile(Finish,$B75)),_xll.VoseSimPercentile(Finish,$B75),NA())</f>
        <v>76.107628792800355</v>
      </c>
      <c r="E75" s="64">
        <f t="shared" si="1"/>
        <v>68</v>
      </c>
      <c r="F75" s="64">
        <f t="shared" si="2"/>
        <v>80</v>
      </c>
    </row>
    <row r="76" spans="2:6" hidden="1" outlineLevel="1" x14ac:dyDescent="0.45">
      <c r="B76" s="63">
        <v>0.27</v>
      </c>
      <c r="C76" s="63">
        <f t="shared" si="0"/>
        <v>0.73</v>
      </c>
      <c r="D76" s="64" cm="1">
        <f t="array" aca="1" ref="D76" ca="1">IF(ISNUMBER(_xll.VoseSimPercentile(Finish,$B76)),_xll.VoseSimPercentile(Finish,$B76),NA())</f>
        <v>76.334525055952554</v>
      </c>
      <c r="E76" s="64">
        <f t="shared" si="1"/>
        <v>68</v>
      </c>
      <c r="F76" s="64">
        <f t="shared" si="2"/>
        <v>80</v>
      </c>
    </row>
    <row r="77" spans="2:6" hidden="1" outlineLevel="1" x14ac:dyDescent="0.45">
      <c r="B77" s="63">
        <v>0.28999999999999998</v>
      </c>
      <c r="C77" s="63">
        <f t="shared" si="0"/>
        <v>0.71</v>
      </c>
      <c r="D77" s="64" cm="1">
        <f t="array" aca="1" ref="D77" ca="1">IF(ISNUMBER(_xll.VoseSimPercentile(Finish,$B77)),_xll.VoseSimPercentile(Finish,$B77),NA())</f>
        <v>76.55867997891562</v>
      </c>
      <c r="E77" s="64">
        <f t="shared" si="1"/>
        <v>68</v>
      </c>
      <c r="F77" s="64">
        <f t="shared" si="2"/>
        <v>80</v>
      </c>
    </row>
    <row r="78" spans="2:6" hidden="1" outlineLevel="1" x14ac:dyDescent="0.45">
      <c r="B78" s="63">
        <v>0.31</v>
      </c>
      <c r="C78" s="63">
        <f t="shared" si="0"/>
        <v>0.69</v>
      </c>
      <c r="D78" s="64" cm="1">
        <f t="array" aca="1" ref="D78" ca="1">IF(ISNUMBER(_xll.VoseSimPercentile(Finish,$B78)),_xll.VoseSimPercentile(Finish,$B78),NA())</f>
        <v>76.78291007192415</v>
      </c>
      <c r="E78" s="64">
        <f t="shared" si="1"/>
        <v>68</v>
      </c>
      <c r="F78" s="64">
        <f t="shared" si="2"/>
        <v>80</v>
      </c>
    </row>
    <row r="79" spans="2:6" hidden="1" outlineLevel="1" x14ac:dyDescent="0.45">
      <c r="B79" s="63">
        <v>0.33</v>
      </c>
      <c r="C79" s="63">
        <f t="shared" si="0"/>
        <v>0.66999999999999993</v>
      </c>
      <c r="D79" s="64" cm="1">
        <f t="array" aca="1" ref="D79" ca="1">IF(ISNUMBER(_xll.VoseSimPercentile(Finish,$B79)),_xll.VoseSimPercentile(Finish,$B79),NA())</f>
        <v>77.002473452652424</v>
      </c>
      <c r="E79" s="64">
        <f t="shared" si="1"/>
        <v>68</v>
      </c>
      <c r="F79" s="64">
        <f t="shared" si="2"/>
        <v>80</v>
      </c>
    </row>
    <row r="80" spans="2:6" hidden="1" outlineLevel="1" x14ac:dyDescent="0.45">
      <c r="B80" s="63">
        <v>0.35</v>
      </c>
      <c r="C80" s="63">
        <f t="shared" si="0"/>
        <v>0.65</v>
      </c>
      <c r="D80" s="64" cm="1">
        <f t="array" aca="1" ref="D80" ca="1">IF(ISNUMBER(_xll.VoseSimPercentile(Finish,$B80)),_xll.VoseSimPercentile(Finish,$B80),NA())</f>
        <v>77.186660008873659</v>
      </c>
      <c r="E80" s="64">
        <f t="shared" si="1"/>
        <v>68</v>
      </c>
      <c r="F80" s="64">
        <f t="shared" si="2"/>
        <v>80</v>
      </c>
    </row>
    <row r="81" spans="2:6" hidden="1" outlineLevel="1" x14ac:dyDescent="0.45">
      <c r="B81" s="63">
        <v>0.37</v>
      </c>
      <c r="C81" s="63">
        <f t="shared" si="0"/>
        <v>0.63</v>
      </c>
      <c r="D81" s="64" cm="1">
        <f t="array" aca="1" ref="D81" ca="1">IF(ISNUMBER(_xll.VoseSimPercentile(Finish,$B81)),_xll.VoseSimPercentile(Finish,$B81),NA())</f>
        <v>77.397532004518084</v>
      </c>
      <c r="E81" s="64">
        <f t="shared" si="1"/>
        <v>68</v>
      </c>
      <c r="F81" s="64">
        <f t="shared" si="2"/>
        <v>80</v>
      </c>
    </row>
    <row r="82" spans="2:6" hidden="1" outlineLevel="1" x14ac:dyDescent="0.45">
      <c r="B82" s="63">
        <v>0.39</v>
      </c>
      <c r="C82" s="63">
        <f t="shared" si="0"/>
        <v>0.61</v>
      </c>
      <c r="D82" s="64" cm="1">
        <f t="array" aca="1" ref="D82" ca="1">IF(ISNUMBER(_xll.VoseSimPercentile(Finish,$B82)),_xll.VoseSimPercentile(Finish,$B82),NA())</f>
        <v>77.600878322452417</v>
      </c>
      <c r="E82" s="64">
        <f t="shared" si="1"/>
        <v>68</v>
      </c>
      <c r="F82" s="64">
        <f t="shared" si="2"/>
        <v>80</v>
      </c>
    </row>
    <row r="83" spans="2:6" hidden="1" outlineLevel="1" x14ac:dyDescent="0.45">
      <c r="B83" s="63">
        <v>0.41</v>
      </c>
      <c r="C83" s="63">
        <f t="shared" si="0"/>
        <v>0.59000000000000008</v>
      </c>
      <c r="D83" s="64" cm="1">
        <f t="array" aca="1" ref="D83" ca="1">IF(ISNUMBER(_xll.VoseSimPercentile(Finish,$B83)),_xll.VoseSimPercentile(Finish,$B83),NA())</f>
        <v>77.804503372061163</v>
      </c>
      <c r="E83" s="64">
        <f t="shared" si="1"/>
        <v>68</v>
      </c>
      <c r="F83" s="64">
        <f t="shared" si="2"/>
        <v>80</v>
      </c>
    </row>
    <row r="84" spans="2:6" hidden="1" outlineLevel="1" x14ac:dyDescent="0.45">
      <c r="B84" s="63">
        <v>0.43</v>
      </c>
      <c r="C84" s="63">
        <f t="shared" si="0"/>
        <v>0.57000000000000006</v>
      </c>
      <c r="D84" s="64" cm="1">
        <f t="array" aca="1" ref="D84" ca="1">IF(ISNUMBER(_xll.VoseSimPercentile(Finish,$B84)),_xll.VoseSimPercentile(Finish,$B84),NA())</f>
        <v>78.034377192907044</v>
      </c>
      <c r="E84" s="64">
        <f t="shared" si="1"/>
        <v>68</v>
      </c>
      <c r="F84" s="64">
        <f t="shared" si="2"/>
        <v>80</v>
      </c>
    </row>
    <row r="85" spans="2:6" hidden="1" outlineLevel="1" x14ac:dyDescent="0.45">
      <c r="B85" s="63">
        <v>0.45</v>
      </c>
      <c r="C85" s="63">
        <f t="shared" si="0"/>
        <v>0.55000000000000004</v>
      </c>
      <c r="D85" s="64" cm="1">
        <f t="array" aca="1" ref="D85" ca="1">IF(ISNUMBER(_xll.VoseSimPercentile(Finish,$B85)),_xll.VoseSimPercentile(Finish,$B85),NA())</f>
        <v>78.245668779470648</v>
      </c>
      <c r="E85" s="64">
        <f t="shared" si="1"/>
        <v>68</v>
      </c>
      <c r="F85" s="64">
        <f t="shared" si="2"/>
        <v>80</v>
      </c>
    </row>
    <row r="86" spans="2:6" hidden="1" outlineLevel="1" x14ac:dyDescent="0.45">
      <c r="B86" s="63">
        <v>0.47</v>
      </c>
      <c r="C86" s="63">
        <f t="shared" si="0"/>
        <v>0.53</v>
      </c>
      <c r="D86" s="64" cm="1">
        <f t="array" aca="1" ref="D86" ca="1">IF(ISNUMBER(_xll.VoseSimPercentile(Finish,$B86)),_xll.VoseSimPercentile(Finish,$B86),NA())</f>
        <v>78.440274051212043</v>
      </c>
      <c r="E86" s="64">
        <f t="shared" si="1"/>
        <v>68</v>
      </c>
      <c r="F86" s="64">
        <f t="shared" si="2"/>
        <v>80</v>
      </c>
    </row>
    <row r="87" spans="2:6" hidden="1" outlineLevel="1" x14ac:dyDescent="0.45">
      <c r="B87" s="63">
        <v>0.49</v>
      </c>
      <c r="C87" s="63">
        <f t="shared" si="0"/>
        <v>0.51</v>
      </c>
      <c r="D87" s="64" cm="1">
        <f t="array" aca="1" ref="D87" ca="1">IF(ISNUMBER(_xll.VoseSimPercentile(Finish,$B87)),_xll.VoseSimPercentile(Finish,$B87),NA())</f>
        <v>78.657954217637823</v>
      </c>
      <c r="E87" s="64">
        <f t="shared" si="1"/>
        <v>68</v>
      </c>
      <c r="F87" s="64">
        <f t="shared" si="2"/>
        <v>80</v>
      </c>
    </row>
    <row r="88" spans="2:6" hidden="1" outlineLevel="1" x14ac:dyDescent="0.45">
      <c r="B88" s="63">
        <v>0.51</v>
      </c>
      <c r="C88" s="63">
        <f t="shared" si="0"/>
        <v>0.49</v>
      </c>
      <c r="D88" s="64" cm="1">
        <f t="array" aca="1" ref="D88" ca="1">IF(ISNUMBER(_xll.VoseSimPercentile(Finish,$B88)),_xll.VoseSimPercentile(Finish,$B88),NA())</f>
        <v>78.856877930998692</v>
      </c>
      <c r="E88" s="64">
        <f t="shared" si="1"/>
        <v>68</v>
      </c>
      <c r="F88" s="64">
        <f t="shared" si="2"/>
        <v>80</v>
      </c>
    </row>
    <row r="89" spans="2:6" hidden="1" outlineLevel="1" x14ac:dyDescent="0.45">
      <c r="B89" s="63">
        <v>0.53</v>
      </c>
      <c r="C89" s="63">
        <f t="shared" si="0"/>
        <v>0.47</v>
      </c>
      <c r="D89" s="64" cm="1">
        <f t="array" aca="1" ref="D89" ca="1">IF(ISNUMBER(_xll.VoseSimPercentile(Finish,$B89)),_xll.VoseSimPercentile(Finish,$B89),NA())</f>
        <v>79.052240013455062</v>
      </c>
      <c r="E89" s="64">
        <f t="shared" si="1"/>
        <v>68</v>
      </c>
      <c r="F89" s="64">
        <f t="shared" si="2"/>
        <v>80</v>
      </c>
    </row>
    <row r="90" spans="2:6" hidden="1" outlineLevel="1" x14ac:dyDescent="0.45">
      <c r="B90" s="63">
        <v>0.55000000000000004</v>
      </c>
      <c r="C90" s="63">
        <f t="shared" si="0"/>
        <v>0.44999999999999996</v>
      </c>
      <c r="D90" s="64" cm="1">
        <f t="array" aca="1" ref="D90" ca="1">IF(ISNUMBER(_xll.VoseSimPercentile(Finish,$B90)),_xll.VoseSimPercentile(Finish,$B90),NA())</f>
        <v>79.256889117408321</v>
      </c>
      <c r="E90" s="64">
        <f t="shared" si="1"/>
        <v>68</v>
      </c>
      <c r="F90" s="64">
        <f t="shared" si="2"/>
        <v>80</v>
      </c>
    </row>
    <row r="91" spans="2:6" hidden="1" outlineLevel="1" x14ac:dyDescent="0.45">
      <c r="B91" s="63">
        <v>0.56999999999999995</v>
      </c>
      <c r="C91" s="63">
        <f t="shared" si="0"/>
        <v>0.43000000000000005</v>
      </c>
      <c r="D91" s="64" cm="1">
        <f t="array" aca="1" ref="D91" ca="1">IF(ISNUMBER(_xll.VoseSimPercentile(Finish,$B91)),_xll.VoseSimPercentile(Finish,$B91),NA())</f>
        <v>79.485135803447633</v>
      </c>
      <c r="E91" s="64">
        <f t="shared" si="1"/>
        <v>68</v>
      </c>
      <c r="F91" s="64">
        <f t="shared" si="2"/>
        <v>80</v>
      </c>
    </row>
    <row r="92" spans="2:6" hidden="1" outlineLevel="1" x14ac:dyDescent="0.45">
      <c r="B92" s="63">
        <v>0.59</v>
      </c>
      <c r="C92" s="63">
        <f t="shared" si="0"/>
        <v>0.41000000000000003</v>
      </c>
      <c r="D92" s="64" cm="1">
        <f t="array" aca="1" ref="D92" ca="1">IF(ISNUMBER(_xll.VoseSimPercentile(Finish,$B92)),_xll.VoseSimPercentile(Finish,$B92),NA())</f>
        <v>79.723758022023873</v>
      </c>
      <c r="E92" s="64">
        <f t="shared" si="1"/>
        <v>68</v>
      </c>
      <c r="F92" s="64">
        <f t="shared" si="2"/>
        <v>80</v>
      </c>
    </row>
    <row r="93" spans="2:6" hidden="1" outlineLevel="1" x14ac:dyDescent="0.45">
      <c r="B93" s="63">
        <v>0.61</v>
      </c>
      <c r="C93" s="63">
        <f t="shared" si="0"/>
        <v>0.39</v>
      </c>
      <c r="D93" s="64" cm="1">
        <f t="array" aca="1" ref="D93" ca="1">IF(ISNUMBER(_xll.VoseSimPercentile(Finish,$B93)),_xll.VoseSimPercentile(Finish,$B93),NA())</f>
        <v>79.95201851518371</v>
      </c>
      <c r="E93" s="64">
        <f t="shared" si="1"/>
        <v>68</v>
      </c>
      <c r="F93" s="64">
        <f t="shared" si="2"/>
        <v>80</v>
      </c>
    </row>
    <row r="94" spans="2:6" hidden="1" outlineLevel="1" x14ac:dyDescent="0.45">
      <c r="B94" s="63">
        <v>0.63</v>
      </c>
      <c r="C94" s="63">
        <f t="shared" si="0"/>
        <v>0.37</v>
      </c>
      <c r="D94" s="64" cm="1">
        <f t="array" aca="1" ref="D94" ca="1">IF(ISNUMBER(_xll.VoseSimPercentile(Finish,$B94)),_xll.VoseSimPercentile(Finish,$B94),NA())</f>
        <v>80.182369556673208</v>
      </c>
      <c r="E94" s="64">
        <f t="shared" si="1"/>
        <v>68</v>
      </c>
      <c r="F94" s="64">
        <f t="shared" si="2"/>
        <v>80</v>
      </c>
    </row>
    <row r="95" spans="2:6" hidden="1" outlineLevel="1" x14ac:dyDescent="0.45">
      <c r="B95" s="63">
        <v>0.65</v>
      </c>
      <c r="C95" s="63">
        <f t="shared" ref="C95:C126" si="3">1-B95</f>
        <v>0.35</v>
      </c>
      <c r="D95" s="64" cm="1">
        <f t="array" aca="1" ref="D95" ca="1">IF(ISNUMBER(_xll.VoseSimPercentile(Finish,$B95)),_xll.VoseSimPercentile(Finish,$B95),NA())</f>
        <v>80.410074470012049</v>
      </c>
      <c r="E95" s="64">
        <f t="shared" ref="E95:E112" si="4">PlanFinish</f>
        <v>68</v>
      </c>
      <c r="F95" s="64">
        <f t="shared" ref="F95:F112" si="5">ContractWeeks</f>
        <v>80</v>
      </c>
    </row>
    <row r="96" spans="2:6" hidden="1" outlineLevel="1" x14ac:dyDescent="0.45">
      <c r="B96" s="63">
        <v>0.67</v>
      </c>
      <c r="C96" s="63">
        <f t="shared" si="3"/>
        <v>0.32999999999999996</v>
      </c>
      <c r="D96" s="64" cm="1">
        <f t="array" aca="1" ref="D96" ca="1">IF(ISNUMBER(_xll.VoseSimPercentile(Finish,$B96)),_xll.VoseSimPercentile(Finish,$B96),NA())</f>
        <v>80.650989436892388</v>
      </c>
      <c r="E96" s="64">
        <f t="shared" si="4"/>
        <v>68</v>
      </c>
      <c r="F96" s="64">
        <f t="shared" si="5"/>
        <v>80</v>
      </c>
    </row>
    <row r="97" spans="2:6" hidden="1" outlineLevel="1" x14ac:dyDescent="0.45">
      <c r="B97" s="63">
        <v>0.69</v>
      </c>
      <c r="C97" s="63">
        <f t="shared" si="3"/>
        <v>0.31000000000000005</v>
      </c>
      <c r="D97" s="64" cm="1">
        <f t="array" aca="1" ref="D97" ca="1">IF(ISNUMBER(_xll.VoseSimPercentile(Finish,$B97)),_xll.VoseSimPercentile(Finish,$B97),NA())</f>
        <v>80.880210112218293</v>
      </c>
      <c r="E97" s="64">
        <f t="shared" si="4"/>
        <v>68</v>
      </c>
      <c r="F97" s="64">
        <f t="shared" si="5"/>
        <v>80</v>
      </c>
    </row>
    <row r="98" spans="2:6" hidden="1" outlineLevel="1" x14ac:dyDescent="0.45">
      <c r="B98" s="63">
        <v>0.71</v>
      </c>
      <c r="C98" s="63">
        <f t="shared" si="3"/>
        <v>0.29000000000000004</v>
      </c>
      <c r="D98" s="64" cm="1">
        <f t="array" aca="1" ref="D98" ca="1">IF(ISNUMBER(_xll.VoseSimPercentile(Finish,$B98)),_xll.VoseSimPercentile(Finish,$B98),NA())</f>
        <v>81.109903771618363</v>
      </c>
      <c r="E98" s="64">
        <f t="shared" si="4"/>
        <v>68</v>
      </c>
      <c r="F98" s="64">
        <f t="shared" si="5"/>
        <v>80</v>
      </c>
    </row>
    <row r="99" spans="2:6" hidden="1" outlineLevel="1" x14ac:dyDescent="0.45">
      <c r="B99" s="63">
        <v>0.73</v>
      </c>
      <c r="C99" s="63">
        <f t="shared" si="3"/>
        <v>0.27</v>
      </c>
      <c r="D99" s="64" cm="1">
        <f t="array" aca="1" ref="D99" ca="1">IF(ISNUMBER(_xll.VoseSimPercentile(Finish,$B99)),_xll.VoseSimPercentile(Finish,$B99),NA())</f>
        <v>81.374966507895252</v>
      </c>
      <c r="E99" s="64">
        <f t="shared" si="4"/>
        <v>68</v>
      </c>
      <c r="F99" s="64">
        <f t="shared" si="5"/>
        <v>80</v>
      </c>
    </row>
    <row r="100" spans="2:6" hidden="1" outlineLevel="1" x14ac:dyDescent="0.45">
      <c r="B100" s="63">
        <v>0.75</v>
      </c>
      <c r="C100" s="63">
        <f t="shared" si="3"/>
        <v>0.25</v>
      </c>
      <c r="D100" s="64" cm="1">
        <f t="array" aca="1" ref="D100" ca="1">IF(ISNUMBER(_xll.VoseSimPercentile(Finish,$B100)),_xll.VoseSimPercentile(Finish,$B100),NA())</f>
        <v>81.652278314830724</v>
      </c>
      <c r="E100" s="64">
        <f t="shared" si="4"/>
        <v>68</v>
      </c>
      <c r="F100" s="64">
        <f t="shared" si="5"/>
        <v>80</v>
      </c>
    </row>
    <row r="101" spans="2:6" hidden="1" outlineLevel="1" x14ac:dyDescent="0.45">
      <c r="B101" s="63">
        <v>0.77</v>
      </c>
      <c r="C101" s="63">
        <f t="shared" si="3"/>
        <v>0.22999999999999998</v>
      </c>
      <c r="D101" s="64" cm="1">
        <f t="array" aca="1" ref="D101" ca="1">IF(ISNUMBER(_xll.VoseSimPercentile(Finish,$B101)),_xll.VoseSimPercentile(Finish,$B101),NA())</f>
        <v>81.917491522495965</v>
      </c>
      <c r="E101" s="64">
        <f t="shared" si="4"/>
        <v>68</v>
      </c>
      <c r="F101" s="64">
        <f t="shared" si="5"/>
        <v>80</v>
      </c>
    </row>
    <row r="102" spans="2:6" hidden="1" outlineLevel="1" x14ac:dyDescent="0.45">
      <c r="B102" s="63">
        <v>0.79</v>
      </c>
      <c r="C102" s="63">
        <f t="shared" si="3"/>
        <v>0.20999999999999996</v>
      </c>
      <c r="D102" s="64" cm="1">
        <f t="array" aca="1" ref="D102" ca="1">IF(ISNUMBER(_xll.VoseSimPercentile(Finish,$B102)),_xll.VoseSimPercentile(Finish,$B102),NA())</f>
        <v>82.194182417569266</v>
      </c>
      <c r="E102" s="64">
        <f t="shared" si="4"/>
        <v>68</v>
      </c>
      <c r="F102" s="64">
        <f t="shared" si="5"/>
        <v>80</v>
      </c>
    </row>
    <row r="103" spans="2:6" hidden="1" outlineLevel="1" x14ac:dyDescent="0.45">
      <c r="B103" s="63">
        <v>0.81</v>
      </c>
      <c r="C103" s="63">
        <f t="shared" si="3"/>
        <v>0.18999999999999995</v>
      </c>
      <c r="D103" s="64" cm="1">
        <f t="array" aca="1" ref="D103" ca="1">IF(ISNUMBER(_xll.VoseSimPercentile(Finish,$B103)),_xll.VoseSimPercentile(Finish,$B103),NA())</f>
        <v>82.480411188863073</v>
      </c>
      <c r="E103" s="64">
        <f t="shared" si="4"/>
        <v>68</v>
      </c>
      <c r="F103" s="64">
        <f t="shared" si="5"/>
        <v>80</v>
      </c>
    </row>
    <row r="104" spans="2:6" hidden="1" outlineLevel="1" x14ac:dyDescent="0.45">
      <c r="B104" s="63">
        <v>0.83</v>
      </c>
      <c r="C104" s="63">
        <f t="shared" si="3"/>
        <v>0.17000000000000004</v>
      </c>
      <c r="D104" s="64" cm="1">
        <f t="array" aca="1" ref="D104" ca="1">IF(ISNUMBER(_xll.VoseSimPercentile(Finish,$B104)),_xll.VoseSimPercentile(Finish,$B104),NA())</f>
        <v>82.824059622778009</v>
      </c>
      <c r="E104" s="64">
        <f t="shared" si="4"/>
        <v>68</v>
      </c>
      <c r="F104" s="64">
        <f t="shared" si="5"/>
        <v>80</v>
      </c>
    </row>
    <row r="105" spans="2:6" hidden="1" outlineLevel="1" x14ac:dyDescent="0.45">
      <c r="B105" s="63">
        <v>0.85</v>
      </c>
      <c r="C105" s="63">
        <f t="shared" si="3"/>
        <v>0.15000000000000002</v>
      </c>
      <c r="D105" s="64" cm="1">
        <f t="array" aca="1" ref="D105" ca="1">IF(ISNUMBER(_xll.VoseSimPercentile(Finish,$B105)),_xll.VoseSimPercentile(Finish,$B105),NA())</f>
        <v>83.172659640200493</v>
      </c>
      <c r="E105" s="64">
        <f t="shared" si="4"/>
        <v>68</v>
      </c>
      <c r="F105" s="64">
        <f t="shared" si="5"/>
        <v>80</v>
      </c>
    </row>
    <row r="106" spans="2:6" hidden="1" outlineLevel="1" x14ac:dyDescent="0.45">
      <c r="B106" s="63">
        <v>0.87</v>
      </c>
      <c r="C106" s="63">
        <f t="shared" si="3"/>
        <v>0.13</v>
      </c>
      <c r="D106" s="64" cm="1">
        <f t="array" aca="1" ref="D106" ca="1">IF(ISNUMBER(_xll.VoseSimPercentile(Finish,$B106)),_xll.VoseSimPercentile(Finish,$B106),NA())</f>
        <v>83.560327453056715</v>
      </c>
      <c r="E106" s="64">
        <f t="shared" si="4"/>
        <v>68</v>
      </c>
      <c r="F106" s="64">
        <f t="shared" si="5"/>
        <v>80</v>
      </c>
    </row>
    <row r="107" spans="2:6" hidden="1" outlineLevel="1" x14ac:dyDescent="0.45">
      <c r="B107" s="63">
        <v>0.89</v>
      </c>
      <c r="C107" s="63">
        <f t="shared" si="3"/>
        <v>0.10999999999999999</v>
      </c>
      <c r="D107" s="64" cm="1">
        <f t="array" aca="1" ref="D107" ca="1">IF(ISNUMBER(_xll.VoseSimPercentile(Finish,$B107)),_xll.VoseSimPercentile(Finish,$B107),NA())</f>
        <v>83.987501577712948</v>
      </c>
      <c r="E107" s="64">
        <f t="shared" si="4"/>
        <v>68</v>
      </c>
      <c r="F107" s="64">
        <f t="shared" si="5"/>
        <v>80</v>
      </c>
    </row>
    <row r="108" spans="2:6" hidden="1" outlineLevel="1" x14ac:dyDescent="0.45">
      <c r="B108" s="63">
        <v>0.91</v>
      </c>
      <c r="C108" s="63">
        <f t="shared" si="3"/>
        <v>8.9999999999999969E-2</v>
      </c>
      <c r="D108" s="64" cm="1">
        <f t="array" aca="1" ref="D108" ca="1">IF(ISNUMBER(_xll.VoseSimPercentile(Finish,$B108)),_xll.VoseSimPercentile(Finish,$B108),NA())</f>
        <v>84.488298245236763</v>
      </c>
      <c r="E108" s="64">
        <f t="shared" si="4"/>
        <v>68</v>
      </c>
      <c r="F108" s="64">
        <f t="shared" si="5"/>
        <v>80</v>
      </c>
    </row>
    <row r="109" spans="2:6" hidden="1" outlineLevel="1" x14ac:dyDescent="0.45">
      <c r="B109" s="63">
        <v>0.93</v>
      </c>
      <c r="C109" s="63">
        <f t="shared" si="3"/>
        <v>6.9999999999999951E-2</v>
      </c>
      <c r="D109" s="64" cm="1">
        <f t="array" aca="1" ref="D109" ca="1">IF(ISNUMBER(_xll.VoseSimPercentile(Finish,$B109)),_xll.VoseSimPercentile(Finish,$B109),NA())</f>
        <v>85.05238175228655</v>
      </c>
      <c r="E109" s="64">
        <f t="shared" si="4"/>
        <v>68</v>
      </c>
      <c r="F109" s="64">
        <f t="shared" si="5"/>
        <v>80</v>
      </c>
    </row>
    <row r="110" spans="2:6" hidden="1" outlineLevel="1" x14ac:dyDescent="0.45">
      <c r="B110" s="63">
        <v>0.95</v>
      </c>
      <c r="C110" s="63">
        <f t="shared" si="3"/>
        <v>5.0000000000000044E-2</v>
      </c>
      <c r="D110" s="64" cm="1">
        <f t="array" aca="1" ref="D110" ca="1">IF(ISNUMBER(_xll.VoseSimPercentile(Finish,$B110)),_xll.VoseSimPercentile(Finish,$B110),NA())</f>
        <v>85.719265507189888</v>
      </c>
      <c r="E110" s="64">
        <f t="shared" si="4"/>
        <v>68</v>
      </c>
      <c r="F110" s="64">
        <f t="shared" si="5"/>
        <v>80</v>
      </c>
    </row>
    <row r="111" spans="2:6" hidden="1" outlineLevel="1" x14ac:dyDescent="0.45">
      <c r="B111" s="63">
        <v>0.97</v>
      </c>
      <c r="C111" s="63">
        <f t="shared" si="3"/>
        <v>3.0000000000000027E-2</v>
      </c>
      <c r="D111" s="64" cm="1">
        <f t="array" aca="1" ref="D111" ca="1">IF(ISNUMBER(_xll.VoseSimPercentile(Finish,$B111)),_xll.VoseSimPercentile(Finish,$B111),NA())</f>
        <v>86.68871996198412</v>
      </c>
      <c r="E111" s="64">
        <f t="shared" si="4"/>
        <v>68</v>
      </c>
      <c r="F111" s="64">
        <f t="shared" si="5"/>
        <v>80</v>
      </c>
    </row>
    <row r="112" spans="2:6" hidden="1" outlineLevel="1" x14ac:dyDescent="0.45">
      <c r="B112" s="63">
        <v>0.99</v>
      </c>
      <c r="C112" s="63">
        <f t="shared" si="3"/>
        <v>1.0000000000000009E-2</v>
      </c>
      <c r="D112" s="64" cm="1">
        <f t="array" aca="1" ref="D112" ca="1">IF(ISNUMBER(_xll.VoseSimPercentile(Finish,$B112)),_xll.VoseSimPercentile(Finish,$B112),NA())</f>
        <v>88.513363355315889</v>
      </c>
      <c r="E112" s="64">
        <f t="shared" si="4"/>
        <v>68</v>
      </c>
      <c r="F112" s="64">
        <f t="shared" si="5"/>
        <v>80</v>
      </c>
    </row>
    <row r="113" spans="2:7" hidden="1" outlineLevel="1" x14ac:dyDescent="0.45"/>
    <row r="114" spans="2:7" hidden="1" outlineLevel="1" x14ac:dyDescent="0.45">
      <c r="B114" s="65" t="s">
        <v>280</v>
      </c>
      <c r="D114" s="66" cm="1">
        <f t="array" aca="1" ref="D114" ca="1">_xll.VoseSimMean(Finish)</f>
        <v>78.899599612232677</v>
      </c>
    </row>
    <row r="115" spans="2:7" ht="18" hidden="1" customHeight="1" outlineLevel="1" x14ac:dyDescent="0.45">
      <c r="B115" s="23" t="s">
        <v>281</v>
      </c>
      <c r="C115" s="5"/>
      <c r="D115" s="5"/>
      <c r="E115" s="5"/>
      <c r="F115" s="24" t="s">
        <v>282</v>
      </c>
      <c r="G115" s="24" t="s">
        <v>283</v>
      </c>
    </row>
    <row r="116" spans="2:7" hidden="1" outlineLevel="1" x14ac:dyDescent="0.45">
      <c r="B116" s="67" t="str">
        <f t="shared" ref="B116:B125" ca="1" si="6">B41</f>
        <v>A  Design and approvals</v>
      </c>
      <c r="F116" s="68">
        <f t="shared" ref="F116:F125" ca="1" si="7">IFERROR(D41-$D$114,NA())</f>
        <v>2.6327645690411998</v>
      </c>
      <c r="G116" s="68">
        <f t="shared" ref="G116:G125" ca="1" si="8">IFERROR(C41-$D$114,NA())</f>
        <v>-2.0730684347432913</v>
      </c>
    </row>
    <row r="117" spans="2:7" hidden="1" outlineLevel="1" x14ac:dyDescent="0.45">
      <c r="B117" s="67" t="str">
        <f t="shared" ca="1" si="6"/>
        <v>C  Procure structural steel</v>
      </c>
      <c r="F117" s="68">
        <f t="shared" ca="1" si="7"/>
        <v>2.8167664914974324</v>
      </c>
      <c r="G117" s="68">
        <f t="shared" ca="1" si="8"/>
        <v>-1.4402817612400725</v>
      </c>
    </row>
    <row r="118" spans="2:7" hidden="1" outlineLevel="1" x14ac:dyDescent="0.45">
      <c r="B118" s="67" t="str">
        <f t="shared" ca="1" si="6"/>
        <v>G  Roof and cladding</v>
      </c>
      <c r="F118" s="68">
        <f t="shared" ca="1" si="7"/>
        <v>2.2809335063183624</v>
      </c>
      <c r="G118" s="68">
        <f t="shared" ca="1" si="8"/>
        <v>-1.4916099645573553</v>
      </c>
    </row>
    <row r="119" spans="2:7" hidden="1" outlineLevel="1" x14ac:dyDescent="0.45">
      <c r="B119" s="67" t="str">
        <f t="shared" ca="1" si="6"/>
        <v>P  Handover tests</v>
      </c>
      <c r="F119" s="68">
        <f t="shared" ca="1" si="7"/>
        <v>2.1116468373861039</v>
      </c>
      <c r="G119" s="68">
        <f t="shared" ca="1" si="8"/>
        <v>-1.5741830531736412</v>
      </c>
    </row>
    <row r="120" spans="2:7" hidden="1" outlineLevel="1" x14ac:dyDescent="0.45">
      <c r="B120" s="67" t="str">
        <f t="shared" ca="1" si="6"/>
        <v>N  Commissioning</v>
      </c>
      <c r="F120" s="68">
        <f t="shared" ca="1" si="7"/>
        <v>2.0613451433228107</v>
      </c>
      <c r="G120" s="68">
        <f t="shared" ca="1" si="8"/>
        <v>-0.94850826103669306</v>
      </c>
    </row>
    <row r="121" spans="2:7" hidden="1" outlineLevel="1" x14ac:dyDescent="0.45">
      <c r="B121" s="67" t="str">
        <f t="shared" ca="1" si="6"/>
        <v>O  Fit-out</v>
      </c>
      <c r="F121" s="68">
        <f t="shared" ca="1" si="7"/>
        <v>1.8817260364745607</v>
      </c>
      <c r="G121" s="68">
        <f t="shared" ca="1" si="8"/>
        <v>-1.0486532389339231</v>
      </c>
    </row>
    <row r="122" spans="2:7" hidden="1" outlineLevel="1" x14ac:dyDescent="0.45">
      <c r="B122" s="67" t="str">
        <f t="shared" ca="1" si="6"/>
        <v>F  Steel frame</v>
      </c>
      <c r="F122" s="68">
        <f t="shared" ca="1" si="7"/>
        <v>1.559604220210062</v>
      </c>
      <c r="G122" s="68">
        <f t="shared" ca="1" si="8"/>
        <v>-0.88600867301478559</v>
      </c>
    </row>
    <row r="123" spans="2:7" hidden="1" outlineLevel="1" x14ac:dyDescent="0.45">
      <c r="B123" s="67" t="str">
        <f t="shared" ca="1" si="6"/>
        <v>B  Site clearance</v>
      </c>
      <c r="F123" s="68">
        <f t="shared" ca="1" si="7"/>
        <v>1.5802526087157389</v>
      </c>
      <c r="G123" s="68">
        <f t="shared" ca="1" si="8"/>
        <v>-0.75510254141008204</v>
      </c>
    </row>
    <row r="124" spans="2:7" hidden="1" outlineLevel="1" x14ac:dyDescent="0.45">
      <c r="B124" s="67" t="str">
        <f t="shared" ca="1" si="6"/>
        <v>E  Foundations</v>
      </c>
      <c r="F124" s="68">
        <f t="shared" ca="1" si="7"/>
        <v>1.3564965798007762</v>
      </c>
      <c r="G124" s="68">
        <f t="shared" ca="1" si="8"/>
        <v>-0.71063209123811077</v>
      </c>
    </row>
    <row r="125" spans="2:7" hidden="1" outlineLevel="1" x14ac:dyDescent="0.45">
      <c r="B125" s="67" t="str">
        <f t="shared" ca="1" si="6"/>
        <v>M  Equipment installation</v>
      </c>
      <c r="F125" s="68">
        <f t="shared" ca="1" si="7"/>
        <v>1.3309195020616045</v>
      </c>
      <c r="G125" s="68">
        <f t="shared" ca="1" si="8"/>
        <v>-0.57342011276429616</v>
      </c>
    </row>
  </sheetData>
  <mergeCells count="4">
    <mergeCell ref="B54:G54"/>
    <mergeCell ref="B56:G56"/>
    <mergeCell ref="B55:G55"/>
    <mergeCell ref="B57:G57"/>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63:F112">
    <cfRule type="expression" dxfId="1" priority="3">
      <formula>ISNA(D63)</formula>
    </cfRule>
  </conditionalFormatting>
  <conditionalFormatting sqref="F116:G125">
    <cfRule type="expression" dxfId="0" priority="4">
      <formula>ISNA(F116)</formula>
    </cfRule>
  </conditionalFormatting>
  <hyperlinks>
    <hyperlink ref="B4" location="'Schedule'!A1" display="◂  Schedule"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C5D78-C197-4170-A4E3-D827C89D16CD}">
  <dimension ref="A1:B1"/>
  <sheetViews>
    <sheetView workbookViewId="0"/>
  </sheetViews>
  <sheetFormatPr defaultRowHeight="14.25" x14ac:dyDescent="0.45"/>
  <sheetData>
    <row r="1" spans="1:2" x14ac:dyDescent="0.45">
      <c r="A1" s="73" t="s">
        <v>284</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7ED3F-BD74-4F44-9BF6-9E98AB786D5D}">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57F1F-E81D-495D-BD40-BC962994E1E4}">
  <dimension ref="B3:B172"/>
  <sheetViews>
    <sheetView workbookViewId="0"/>
  </sheetViews>
  <sheetFormatPr defaultRowHeight="14.25" x14ac:dyDescent="0.45"/>
  <sheetData>
    <row r="3" spans="2:2" x14ac:dyDescent="0.45">
      <c r="B3">
        <v>92</v>
      </c>
    </row>
    <row r="4" spans="2:2" x14ac:dyDescent="0.45">
      <c r="B4">
        <v>218</v>
      </c>
    </row>
    <row r="5" spans="2:2" x14ac:dyDescent="0.45">
      <c r="B5">
        <v>347</v>
      </c>
    </row>
    <row r="6" spans="2:2" x14ac:dyDescent="0.45">
      <c r="B6">
        <v>360</v>
      </c>
    </row>
    <row r="7" spans="2:2" x14ac:dyDescent="0.45">
      <c r="B7">
        <v>292</v>
      </c>
    </row>
    <row r="8" spans="2:2" x14ac:dyDescent="0.45">
      <c r="B8">
        <v>231</v>
      </c>
    </row>
    <row r="9" spans="2:2" x14ac:dyDescent="0.45">
      <c r="B9">
        <v>202</v>
      </c>
    </row>
    <row r="10" spans="2:2" x14ac:dyDescent="0.45">
      <c r="B10">
        <v>132</v>
      </c>
    </row>
    <row r="11" spans="2:2" x14ac:dyDescent="0.45">
      <c r="B11">
        <v>93</v>
      </c>
    </row>
    <row r="12" spans="2:2" x14ac:dyDescent="0.45">
      <c r="B12">
        <v>33</v>
      </c>
    </row>
    <row r="13" spans="2:2" x14ac:dyDescent="0.45">
      <c r="B13">
        <v>96</v>
      </c>
    </row>
    <row r="14" spans="2:2" x14ac:dyDescent="0.45">
      <c r="B14">
        <v>227</v>
      </c>
    </row>
    <row r="15" spans="2:2" x14ac:dyDescent="0.45">
      <c r="B15">
        <v>348</v>
      </c>
    </row>
    <row r="16" spans="2:2" x14ac:dyDescent="0.45">
      <c r="B16">
        <v>359</v>
      </c>
    </row>
    <row r="17" spans="2:2" x14ac:dyDescent="0.45">
      <c r="B17">
        <v>300</v>
      </c>
    </row>
    <row r="18" spans="2:2" x14ac:dyDescent="0.45">
      <c r="B18">
        <v>250</v>
      </c>
    </row>
    <row r="19" spans="2:2" x14ac:dyDescent="0.45">
      <c r="B19">
        <v>165</v>
      </c>
    </row>
    <row r="20" spans="2:2" x14ac:dyDescent="0.45">
      <c r="B20">
        <v>145</v>
      </c>
    </row>
    <row r="21" spans="2:2" x14ac:dyDescent="0.45">
      <c r="B21">
        <v>78</v>
      </c>
    </row>
    <row r="22" spans="2:2" x14ac:dyDescent="0.45">
      <c r="B22">
        <v>32</v>
      </c>
    </row>
    <row r="23" spans="2:2" x14ac:dyDescent="0.45">
      <c r="B23">
        <v>96</v>
      </c>
    </row>
    <row r="24" spans="2:2" x14ac:dyDescent="0.45">
      <c r="B24">
        <v>200</v>
      </c>
    </row>
    <row r="25" spans="2:2" x14ac:dyDescent="0.45">
      <c r="B25">
        <v>339</v>
      </c>
    </row>
    <row r="26" spans="2:2" x14ac:dyDescent="0.45">
      <c r="B26">
        <v>341</v>
      </c>
    </row>
    <row r="27" spans="2:2" x14ac:dyDescent="0.45">
      <c r="B27">
        <v>297</v>
      </c>
    </row>
    <row r="28" spans="2:2" x14ac:dyDescent="0.45">
      <c r="B28">
        <v>272</v>
      </c>
    </row>
    <row r="29" spans="2:2" x14ac:dyDescent="0.45">
      <c r="B29">
        <v>194</v>
      </c>
    </row>
    <row r="30" spans="2:2" x14ac:dyDescent="0.45">
      <c r="B30">
        <v>142</v>
      </c>
    </row>
    <row r="31" spans="2:2" x14ac:dyDescent="0.45">
      <c r="B31">
        <v>82</v>
      </c>
    </row>
    <row r="32" spans="2:2" x14ac:dyDescent="0.45">
      <c r="B32">
        <v>37</v>
      </c>
    </row>
    <row r="33" spans="2:2" x14ac:dyDescent="0.45">
      <c r="B33">
        <v>69</v>
      </c>
    </row>
    <row r="34" spans="2:2" x14ac:dyDescent="0.45">
      <c r="B34">
        <v>215</v>
      </c>
    </row>
    <row r="35" spans="2:2" x14ac:dyDescent="0.45">
      <c r="B35">
        <v>358</v>
      </c>
    </row>
    <row r="36" spans="2:2" x14ac:dyDescent="0.45">
      <c r="B36">
        <v>342</v>
      </c>
    </row>
    <row r="37" spans="2:2" x14ac:dyDescent="0.45">
      <c r="B37">
        <v>297</v>
      </c>
    </row>
    <row r="38" spans="2:2" x14ac:dyDescent="0.45">
      <c r="B38">
        <v>252</v>
      </c>
    </row>
    <row r="39" spans="2:2" x14ac:dyDescent="0.45">
      <c r="B39">
        <v>197</v>
      </c>
    </row>
    <row r="40" spans="2:2" x14ac:dyDescent="0.45">
      <c r="B40">
        <v>157</v>
      </c>
    </row>
    <row r="41" spans="2:2" x14ac:dyDescent="0.45">
      <c r="B41">
        <v>81</v>
      </c>
    </row>
    <row r="42" spans="2:2" x14ac:dyDescent="0.45">
      <c r="B42">
        <v>32</v>
      </c>
    </row>
    <row r="43" spans="2:2" x14ac:dyDescent="0.45">
      <c r="B43">
        <v>91</v>
      </c>
    </row>
    <row r="44" spans="2:2" x14ac:dyDescent="0.45">
      <c r="B44">
        <v>207</v>
      </c>
    </row>
    <row r="45" spans="2:2" x14ac:dyDescent="0.45">
      <c r="B45">
        <v>347</v>
      </c>
    </row>
    <row r="46" spans="2:2" x14ac:dyDescent="0.45">
      <c r="B46">
        <v>344</v>
      </c>
    </row>
    <row r="47" spans="2:2" x14ac:dyDescent="0.45">
      <c r="B47">
        <v>308</v>
      </c>
    </row>
    <row r="48" spans="2:2" x14ac:dyDescent="0.45">
      <c r="B48">
        <v>257</v>
      </c>
    </row>
    <row r="49" spans="2:2" x14ac:dyDescent="0.45">
      <c r="B49">
        <v>195</v>
      </c>
    </row>
    <row r="50" spans="2:2" x14ac:dyDescent="0.45">
      <c r="B50">
        <v>136</v>
      </c>
    </row>
    <row r="51" spans="2:2" x14ac:dyDescent="0.45">
      <c r="B51">
        <v>84</v>
      </c>
    </row>
    <row r="52" spans="2:2" x14ac:dyDescent="0.45">
      <c r="B52">
        <v>31</v>
      </c>
    </row>
    <row r="53" spans="2:2" x14ac:dyDescent="0.45">
      <c r="B53">
        <v>92</v>
      </c>
    </row>
    <row r="54" spans="2:2" x14ac:dyDescent="0.45">
      <c r="B54">
        <v>188</v>
      </c>
    </row>
    <row r="55" spans="2:2" x14ac:dyDescent="0.45">
      <c r="B55">
        <v>350</v>
      </c>
    </row>
    <row r="56" spans="2:2" x14ac:dyDescent="0.45">
      <c r="B56">
        <v>345</v>
      </c>
    </row>
    <row r="57" spans="2:2" x14ac:dyDescent="0.45">
      <c r="B57">
        <v>317</v>
      </c>
    </row>
    <row r="58" spans="2:2" x14ac:dyDescent="0.45">
      <c r="B58">
        <v>263</v>
      </c>
    </row>
    <row r="59" spans="2:2" x14ac:dyDescent="0.45">
      <c r="B59">
        <v>195</v>
      </c>
    </row>
    <row r="60" spans="2:2" x14ac:dyDescent="0.45">
      <c r="B60">
        <v>137</v>
      </c>
    </row>
    <row r="61" spans="2:2" x14ac:dyDescent="0.45">
      <c r="B61">
        <v>80</v>
      </c>
    </row>
    <row r="62" spans="2:2" x14ac:dyDescent="0.45">
      <c r="B62">
        <v>33</v>
      </c>
    </row>
    <row r="63" spans="2:2" x14ac:dyDescent="0.45">
      <c r="B63">
        <v>93</v>
      </c>
    </row>
    <row r="64" spans="2:2" x14ac:dyDescent="0.45">
      <c r="B64">
        <v>205</v>
      </c>
    </row>
    <row r="65" spans="2:2" x14ac:dyDescent="0.45">
      <c r="B65">
        <v>340</v>
      </c>
    </row>
    <row r="66" spans="2:2" x14ac:dyDescent="0.45">
      <c r="B66">
        <v>343</v>
      </c>
    </row>
    <row r="67" spans="2:2" x14ac:dyDescent="0.45">
      <c r="B67">
        <v>304</v>
      </c>
    </row>
    <row r="68" spans="2:2" x14ac:dyDescent="0.45">
      <c r="B68">
        <v>254</v>
      </c>
    </row>
    <row r="69" spans="2:2" x14ac:dyDescent="0.45">
      <c r="B69">
        <v>197</v>
      </c>
    </row>
    <row r="70" spans="2:2" x14ac:dyDescent="0.45">
      <c r="B70">
        <v>143</v>
      </c>
    </row>
    <row r="71" spans="2:2" x14ac:dyDescent="0.45">
      <c r="B71">
        <v>89</v>
      </c>
    </row>
    <row r="72" spans="2:2" x14ac:dyDescent="0.45">
      <c r="B72">
        <v>32</v>
      </c>
    </row>
    <row r="73" spans="2:2" x14ac:dyDescent="0.45">
      <c r="B73">
        <v>96</v>
      </c>
    </row>
    <row r="74" spans="2:2" x14ac:dyDescent="0.45">
      <c r="B74">
        <v>587</v>
      </c>
    </row>
    <row r="75" spans="2:2" x14ac:dyDescent="0.45">
      <c r="B75">
        <v>682</v>
      </c>
    </row>
    <row r="76" spans="2:2" x14ac:dyDescent="0.45">
      <c r="B76">
        <v>202</v>
      </c>
    </row>
    <row r="77" spans="2:2" x14ac:dyDescent="0.45">
      <c r="B77">
        <v>0</v>
      </c>
    </row>
    <row r="78" spans="2:2" x14ac:dyDescent="0.45">
      <c r="B78">
        <v>45</v>
      </c>
    </row>
    <row r="79" spans="2:2" x14ac:dyDescent="0.45">
      <c r="B79">
        <v>114</v>
      </c>
    </row>
    <row r="80" spans="2:2" x14ac:dyDescent="0.45">
      <c r="B80">
        <v>148</v>
      </c>
    </row>
    <row r="81" spans="2:2" x14ac:dyDescent="0.45">
      <c r="B81">
        <v>89</v>
      </c>
    </row>
    <row r="82" spans="2:2" x14ac:dyDescent="0.45">
      <c r="B82">
        <v>37</v>
      </c>
    </row>
    <row r="83" spans="2:2" x14ac:dyDescent="0.45">
      <c r="B83">
        <v>71</v>
      </c>
    </row>
    <row r="84" spans="2:2" x14ac:dyDescent="0.45">
      <c r="B84">
        <v>204</v>
      </c>
    </row>
    <row r="85" spans="2:2" x14ac:dyDescent="0.45">
      <c r="B85">
        <v>349</v>
      </c>
    </row>
    <row r="86" spans="2:2" x14ac:dyDescent="0.45">
      <c r="B86">
        <v>379</v>
      </c>
    </row>
    <row r="87" spans="2:2" x14ac:dyDescent="0.45">
      <c r="B87">
        <v>320</v>
      </c>
    </row>
    <row r="88" spans="2:2" x14ac:dyDescent="0.45">
      <c r="B88">
        <v>222</v>
      </c>
    </row>
    <row r="89" spans="2:2" x14ac:dyDescent="0.45">
      <c r="B89">
        <v>203</v>
      </c>
    </row>
    <row r="90" spans="2:2" x14ac:dyDescent="0.45">
      <c r="B90">
        <v>122</v>
      </c>
    </row>
    <row r="91" spans="2:2" x14ac:dyDescent="0.45">
      <c r="B91">
        <v>86</v>
      </c>
    </row>
    <row r="92" spans="2:2" x14ac:dyDescent="0.45">
      <c r="B92">
        <v>44</v>
      </c>
    </row>
    <row r="93" spans="2:2" x14ac:dyDescent="0.45">
      <c r="B93">
        <v>83</v>
      </c>
    </row>
    <row r="94" spans="2:2" x14ac:dyDescent="0.45">
      <c r="B94">
        <v>202</v>
      </c>
    </row>
    <row r="95" spans="2:2" x14ac:dyDescent="0.45">
      <c r="B95">
        <v>350</v>
      </c>
    </row>
    <row r="96" spans="2:2" x14ac:dyDescent="0.45">
      <c r="B96">
        <v>344</v>
      </c>
    </row>
    <row r="97" spans="2:2" x14ac:dyDescent="0.45">
      <c r="B97">
        <v>302</v>
      </c>
    </row>
    <row r="98" spans="2:2" x14ac:dyDescent="0.45">
      <c r="B98">
        <v>257</v>
      </c>
    </row>
    <row r="99" spans="2:2" x14ac:dyDescent="0.45">
      <c r="B99">
        <v>188</v>
      </c>
    </row>
    <row r="100" spans="2:2" x14ac:dyDescent="0.45">
      <c r="B100">
        <v>162</v>
      </c>
    </row>
    <row r="101" spans="2:2" x14ac:dyDescent="0.45">
      <c r="B101">
        <v>82</v>
      </c>
    </row>
    <row r="102" spans="2:2" x14ac:dyDescent="0.45">
      <c r="B102">
        <v>30</v>
      </c>
    </row>
    <row r="103" spans="2:2" x14ac:dyDescent="0.45">
      <c r="B103">
        <v>89</v>
      </c>
    </row>
    <row r="104" spans="2:2" x14ac:dyDescent="0.45">
      <c r="B104">
        <v>247</v>
      </c>
    </row>
    <row r="105" spans="2:2" x14ac:dyDescent="0.45">
      <c r="B105">
        <v>341</v>
      </c>
    </row>
    <row r="106" spans="2:2" x14ac:dyDescent="0.45">
      <c r="B106">
        <v>332</v>
      </c>
    </row>
    <row r="107" spans="2:2" x14ac:dyDescent="0.45">
      <c r="B107">
        <v>311</v>
      </c>
    </row>
    <row r="108" spans="2:2" x14ac:dyDescent="0.45">
      <c r="B108">
        <v>243</v>
      </c>
    </row>
    <row r="109" spans="2:2" x14ac:dyDescent="0.45">
      <c r="B109">
        <v>195</v>
      </c>
    </row>
    <row r="110" spans="2:2" x14ac:dyDescent="0.45">
      <c r="B110">
        <v>143</v>
      </c>
    </row>
    <row r="111" spans="2:2" x14ac:dyDescent="0.45">
      <c r="B111">
        <v>74</v>
      </c>
    </row>
    <row r="112" spans="2:2" x14ac:dyDescent="0.45">
      <c r="B112">
        <v>25</v>
      </c>
    </row>
    <row r="113" spans="2:2" x14ac:dyDescent="0.45">
      <c r="B113">
        <v>74</v>
      </c>
    </row>
    <row r="114" spans="2:2" x14ac:dyDescent="0.45">
      <c r="B114">
        <v>209</v>
      </c>
    </row>
    <row r="115" spans="2:2" x14ac:dyDescent="0.45">
      <c r="B115">
        <v>346</v>
      </c>
    </row>
    <row r="116" spans="2:2" x14ac:dyDescent="0.45">
      <c r="B116">
        <v>362</v>
      </c>
    </row>
    <row r="117" spans="2:2" x14ac:dyDescent="0.45">
      <c r="B117">
        <v>289</v>
      </c>
    </row>
    <row r="118" spans="2:2" x14ac:dyDescent="0.45">
      <c r="B118">
        <v>269</v>
      </c>
    </row>
    <row r="119" spans="2:2" x14ac:dyDescent="0.45">
      <c r="B119">
        <v>196</v>
      </c>
    </row>
    <row r="120" spans="2:2" x14ac:dyDescent="0.45">
      <c r="B120">
        <v>121</v>
      </c>
    </row>
    <row r="121" spans="2:2" x14ac:dyDescent="0.45">
      <c r="B121">
        <v>102</v>
      </c>
    </row>
    <row r="122" spans="2:2" x14ac:dyDescent="0.45">
      <c r="B122">
        <v>32</v>
      </c>
    </row>
    <row r="123" spans="2:2" x14ac:dyDescent="0.45">
      <c r="B123">
        <v>69</v>
      </c>
    </row>
    <row r="124" spans="2:2" x14ac:dyDescent="0.45">
      <c r="B124">
        <v>210</v>
      </c>
    </row>
    <row r="125" spans="2:2" x14ac:dyDescent="0.45">
      <c r="B125">
        <v>362</v>
      </c>
    </row>
    <row r="126" spans="2:2" x14ac:dyDescent="0.45">
      <c r="B126">
        <v>327</v>
      </c>
    </row>
    <row r="127" spans="2:2" x14ac:dyDescent="0.45">
      <c r="B127">
        <v>312</v>
      </c>
    </row>
    <row r="128" spans="2:2" x14ac:dyDescent="0.45">
      <c r="B128">
        <v>248</v>
      </c>
    </row>
    <row r="129" spans="2:2" x14ac:dyDescent="0.45">
      <c r="B129">
        <v>210</v>
      </c>
    </row>
    <row r="130" spans="2:2" x14ac:dyDescent="0.45">
      <c r="B130">
        <v>128</v>
      </c>
    </row>
    <row r="131" spans="2:2" x14ac:dyDescent="0.45">
      <c r="B131">
        <v>92</v>
      </c>
    </row>
    <row r="132" spans="2:2" x14ac:dyDescent="0.45">
      <c r="B132">
        <v>42</v>
      </c>
    </row>
    <row r="133" spans="2:2" x14ac:dyDescent="0.45">
      <c r="B133">
        <v>86</v>
      </c>
    </row>
    <row r="134" spans="2:2" x14ac:dyDescent="0.45">
      <c r="B134">
        <v>200</v>
      </c>
    </row>
    <row r="135" spans="2:2" x14ac:dyDescent="0.45">
      <c r="B135">
        <v>343</v>
      </c>
    </row>
    <row r="136" spans="2:2" x14ac:dyDescent="0.45">
      <c r="B136">
        <v>358</v>
      </c>
    </row>
    <row r="137" spans="2:2" x14ac:dyDescent="0.45">
      <c r="B137">
        <v>310</v>
      </c>
    </row>
    <row r="138" spans="2:2" x14ac:dyDescent="0.45">
      <c r="B138">
        <v>264</v>
      </c>
    </row>
    <row r="139" spans="2:2" x14ac:dyDescent="0.45">
      <c r="B139">
        <v>164</v>
      </c>
    </row>
    <row r="140" spans="2:2" x14ac:dyDescent="0.45">
      <c r="B140">
        <v>135</v>
      </c>
    </row>
    <row r="141" spans="2:2" x14ac:dyDescent="0.45">
      <c r="B141">
        <v>97</v>
      </c>
    </row>
    <row r="142" spans="2:2" x14ac:dyDescent="0.45">
      <c r="B142">
        <v>43</v>
      </c>
    </row>
    <row r="143" spans="2:2" x14ac:dyDescent="0.45">
      <c r="B143">
        <v>63</v>
      </c>
    </row>
    <row r="144" spans="2:2" x14ac:dyDescent="0.45">
      <c r="B144">
        <v>223</v>
      </c>
    </row>
    <row r="145" spans="2:2" x14ac:dyDescent="0.45">
      <c r="B145">
        <v>349</v>
      </c>
    </row>
    <row r="146" spans="2:2" x14ac:dyDescent="0.45">
      <c r="B146">
        <v>334</v>
      </c>
    </row>
    <row r="147" spans="2:2" x14ac:dyDescent="0.45">
      <c r="B147">
        <v>285</v>
      </c>
    </row>
    <row r="148" spans="2:2" x14ac:dyDescent="0.45">
      <c r="B148">
        <v>255</v>
      </c>
    </row>
    <row r="149" spans="2:2" x14ac:dyDescent="0.45">
      <c r="B149">
        <v>215</v>
      </c>
    </row>
    <row r="150" spans="2:2" x14ac:dyDescent="0.45">
      <c r="B150">
        <v>154</v>
      </c>
    </row>
    <row r="151" spans="2:2" x14ac:dyDescent="0.45">
      <c r="B151">
        <v>94</v>
      </c>
    </row>
    <row r="152" spans="2:2" x14ac:dyDescent="0.45">
      <c r="B152">
        <v>28</v>
      </c>
    </row>
    <row r="153" spans="2:2" x14ac:dyDescent="0.45">
      <c r="B153">
        <v>111</v>
      </c>
    </row>
    <row r="154" spans="2:2" x14ac:dyDescent="0.45">
      <c r="B154">
        <v>216</v>
      </c>
    </row>
    <row r="155" spans="2:2" x14ac:dyDescent="0.45">
      <c r="B155">
        <v>363</v>
      </c>
    </row>
    <row r="156" spans="2:2" x14ac:dyDescent="0.45">
      <c r="B156">
        <v>336</v>
      </c>
    </row>
    <row r="157" spans="2:2" x14ac:dyDescent="0.45">
      <c r="B157">
        <v>302</v>
      </c>
    </row>
    <row r="158" spans="2:2" x14ac:dyDescent="0.45">
      <c r="B158">
        <v>238</v>
      </c>
    </row>
    <row r="159" spans="2:2" x14ac:dyDescent="0.45">
      <c r="B159">
        <v>190</v>
      </c>
    </row>
    <row r="160" spans="2:2" x14ac:dyDescent="0.45">
      <c r="B160">
        <v>123</v>
      </c>
    </row>
    <row r="161" spans="2:2" x14ac:dyDescent="0.45">
      <c r="B161">
        <v>91</v>
      </c>
    </row>
    <row r="162" spans="2:2" x14ac:dyDescent="0.45">
      <c r="B162">
        <v>30</v>
      </c>
    </row>
    <row r="163" spans="2:2" x14ac:dyDescent="0.45">
      <c r="B163">
        <v>10</v>
      </c>
    </row>
    <row r="164" spans="2:2" x14ac:dyDescent="0.45">
      <c r="B164">
        <v>54</v>
      </c>
    </row>
    <row r="165" spans="2:2" x14ac:dyDescent="0.45">
      <c r="B165">
        <v>260</v>
      </c>
    </row>
    <row r="166" spans="2:2" x14ac:dyDescent="0.45">
      <c r="B166">
        <v>453</v>
      </c>
    </row>
    <row r="167" spans="2:2" x14ac:dyDescent="0.45">
      <c r="B167">
        <v>525</v>
      </c>
    </row>
    <row r="168" spans="2:2" x14ac:dyDescent="0.45">
      <c r="B168">
        <v>420</v>
      </c>
    </row>
    <row r="169" spans="2:2" x14ac:dyDescent="0.45">
      <c r="B169">
        <v>206</v>
      </c>
    </row>
    <row r="170" spans="2:2" x14ac:dyDescent="0.45">
      <c r="B170">
        <v>63</v>
      </c>
    </row>
    <row r="171" spans="2:2" x14ac:dyDescent="0.45">
      <c r="B171">
        <v>7</v>
      </c>
    </row>
    <row r="172" spans="2:2" x14ac:dyDescent="0.45">
      <c r="B172">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EF2141C9-A5A2-4FCF-9A58-78CF8ADE0871}">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29</vt:i4>
      </vt:variant>
    </vt:vector>
  </HeadingPairs>
  <TitlesOfParts>
    <vt:vector size="36" baseType="lpstr">
      <vt:lpstr>About</vt:lpstr>
      <vt:lpstr>Inputs</vt:lpstr>
      <vt:lpstr>Schedule</vt:lpstr>
      <vt:lpstr>Results</vt:lpstr>
      <vt:lpstr>ModelRiskDSN</vt:lpstr>
      <vt:lpstr>ModelRiskSYS1</vt:lpstr>
      <vt:lpstr>ModelRiskCharts</vt:lpstr>
      <vt:lpstr>ByPlan</vt:lpstr>
      <vt:lpstr>Checks</vt:lpstr>
      <vt:lpstr>ContractDate</vt:lpstr>
      <vt:lpstr>ContractWeeks</vt:lpstr>
      <vt:lpstr>Crit_Equip</vt:lpstr>
      <vt:lpstr>Crit_Roof</vt:lpstr>
      <vt:lpstr>Crit_Util</vt:lpstr>
      <vt:lpstr>Delay_R1</vt:lpstr>
      <vt:lpstr>Delay_R2</vt:lpstr>
      <vt:lpstr>Delay_R3</vt:lpstr>
      <vt:lpstr>Fin_G</vt:lpstr>
      <vt:lpstr>Fin_J</vt:lpstr>
      <vt:lpstr>Fin_M</vt:lpstr>
      <vt:lpstr>Fin_P</vt:lpstr>
      <vt:lpstr>Finish</vt:lpstr>
      <vt:lpstr>FinishDate</vt:lpstr>
      <vt:lpstr>H_Dur</vt:lpstr>
      <vt:lpstr>H_PlanML</vt:lpstr>
      <vt:lpstr>H_Way</vt:lpstr>
      <vt:lpstr>Hap_R1</vt:lpstr>
      <vt:lpstr>Hap_R2</vt:lpstr>
      <vt:lpstr>Hap_R3</vt:lpstr>
      <vt:lpstr>OnTime</vt:lpstr>
      <vt:lpstr>Plan_P</vt:lpstr>
      <vt:lpstr>PlanFinish</vt:lpstr>
      <vt:lpstr>Results!Print_Area</vt:lpstr>
      <vt:lpstr>Inputs!Print_Titles</vt:lpstr>
      <vt:lpstr>Results!Print_Titles</vt:lpstr>
      <vt:lpstr>StartDate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GU-04 Simple Project Schedule with Risks</dc:title>
  <dc:subject>ModelRisk industry example library — General use</dc:subject>
  <dc:creator>Vose Software</dc:creator>
  <cp:keywords>ModelRisk; Monte Carlo; General use</cp:keywords>
  <dc:description>Sixteen activities on three paths with three risks: why a schedule built from most-likely durations finishes late.</dc:description>
  <cp:lastModifiedBy>Timour Koupeev</cp:lastModifiedBy>
  <cp:lastPrinted>2026-10-07T12:43:07Z</cp:lastPrinted>
  <dcterms:created xsi:type="dcterms:W3CDTF">2026-10-07T12:41:32Z</dcterms:created>
  <dcterms:modified xsi:type="dcterms:W3CDTF">2026-10-07T12:43:13Z</dcterms:modified>
</cp:coreProperties>
</file>