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187F0DFB-FDF9-418C-A6C7-8903B39949CA}"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Risks" sheetId="3" r:id="rId3"/>
    <sheet name="Results" sheetId="4" r:id="rId4"/>
    <sheet name="ModelRiskDSN" sheetId="5" state="hidden" r:id="rId5"/>
    <sheet name="ModelRiskSYS1" sheetId="6" state="hidden" r:id="rId6"/>
    <sheet name="ModelRiskCharts" sheetId="7" state="hidden" r:id="rId7"/>
  </sheets>
  <definedNames>
    <definedName name="Checks">Risks!$E$38:$E$39</definedName>
    <definedName name="ExpLoss">Risks!$E$31</definedName>
    <definedName name="Impact">Risks!$E$10:$E$19</definedName>
    <definedName name="Loss">Risks!$E$25</definedName>
    <definedName name="MaxLoss">Risks!$E$32</definedName>
    <definedName name="Needed">Risks!$I$10:$I$19</definedName>
    <definedName name="NeededList">Risks!$E$34</definedName>
    <definedName name="_xlnm.Print_Area" localSheetId="3">Results!$A$1:$R$46</definedName>
    <definedName name="_xlnm.Print_Titles" localSheetId="1">Inputs!$1:$4</definedName>
    <definedName name="_xlnm.Print_Titles" localSheetId="3">Results!$1:$4</definedName>
    <definedName name="Prob">Risks!$D$10:$D$19</definedName>
    <definedName name="RiskID">Risks!$B$10:$B$19</definedName>
    <definedName name="Ruin">Risks!$E$26</definedName>
    <definedName name="RuinExact">Risks!$E$33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hreshold">Inputs!$D$11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4" i="4" l="1"/>
  <c r="C73" i="4"/>
  <c r="C72" i="4"/>
  <c r="C71" i="4"/>
  <c r="C70" i="4"/>
  <c r="C69" i="4"/>
  <c r="C68" i="4"/>
  <c r="C67" i="4"/>
  <c r="C66" i="4"/>
  <c r="C65" i="4"/>
  <c r="D26" i="4"/>
  <c r="E26" i="4" s="1"/>
  <c r="D25" i="4"/>
  <c r="E25" i="4" s="1"/>
  <c r="D24" i="4"/>
  <c r="E24" i="4" s="1"/>
  <c r="D23" i="4"/>
  <c r="E23" i="4" s="1"/>
  <c r="D22" i="4"/>
  <c r="E22" i="4" s="1"/>
  <c r="D14" i="4"/>
  <c r="E39" i="3"/>
  <c r="E38" i="3"/>
  <c r="B7" i="4"/>
  <c r="E33" i="3"/>
  <c r="D12" i="4" s="1"/>
  <c r="E32" i="3"/>
  <c r="I19" i="3"/>
  <c r="H19" i="3"/>
  <c r="F19" i="3"/>
  <c r="I18" i="3"/>
  <c r="H18" i="3"/>
  <c r="F18" i="3"/>
  <c r="I17" i="3"/>
  <c r="H17" i="3"/>
  <c r="F17" i="3"/>
  <c r="I16" i="3"/>
  <c r="H16" i="3"/>
  <c r="F16" i="3"/>
  <c r="I15" i="3"/>
  <c r="H15" i="3"/>
  <c r="F15" i="3"/>
  <c r="I14" i="3"/>
  <c r="H14" i="3"/>
  <c r="F14" i="3"/>
  <c r="G19" i="3" s="1"/>
  <c r="I13" i="3"/>
  <c r="H13" i="3"/>
  <c r="F13" i="3"/>
  <c r="I12" i="3"/>
  <c r="H12" i="3"/>
  <c r="F12" i="3"/>
  <c r="G16" i="3" s="1"/>
  <c r="I11" i="3"/>
  <c r="H11" i="3"/>
  <c r="F11" i="3"/>
  <c r="I10" i="3"/>
  <c r="H10" i="3"/>
  <c r="F10" i="3"/>
  <c r="G15" i="3"/>
  <c r="J10" i="3" a="1"/>
  <c r="J14" i="3" a="1"/>
  <c r="J19" i="3" a="1"/>
  <c r="J12" i="3" a="1"/>
  <c r="J17" i="3" a="1"/>
  <c r="J15" i="3" a="1"/>
  <c r="J13" i="3" a="1"/>
  <c r="J11" i="3" a="1"/>
  <c r="J18" i="3" a="1"/>
  <c r="J16" i="3" a="1"/>
  <c r="F20" i="3" l="1"/>
  <c r="E31" i="3" s="1"/>
  <c r="D16" i="4" s="1"/>
  <c r="E34" i="3" a="1"/>
  <c r="E34" i="3" s="1"/>
  <c r="D15" i="4" s="1"/>
  <c r="G18" i="3"/>
  <c r="G10" i="3"/>
  <c r="G13" i="3"/>
  <c r="J16" i="3"/>
  <c r="K16" i="3" s="1" a="1"/>
  <c r="K16" i="3" s="1"/>
  <c r="J18" i="3"/>
  <c r="K18" i="3" s="1" a="1"/>
  <c r="K18" i="3" s="1"/>
  <c r="J11" i="3"/>
  <c r="K11" i="3" s="1" a="1"/>
  <c r="K11" i="3" s="1"/>
  <c r="J13" i="3"/>
  <c r="K13" i="3" s="1" a="1"/>
  <c r="K13" i="3" s="1"/>
  <c r="J15" i="3"/>
  <c r="K15" i="3" s="1" a="1"/>
  <c r="K15" i="3" s="1"/>
  <c r="J17" i="3"/>
  <c r="K17" i="3" s="1" a="1"/>
  <c r="K17" i="3" s="1"/>
  <c r="J12" i="3"/>
  <c r="K12" i="3" s="1" a="1"/>
  <c r="K12" i="3" s="1"/>
  <c r="J19" i="3"/>
  <c r="K19" i="3" s="1" a="1"/>
  <c r="K19" i="3" s="1"/>
  <c r="J14" i="3"/>
  <c r="K14" i="3" s="1" a="1"/>
  <c r="K14" i="3" s="1"/>
  <c r="J10" i="3"/>
  <c r="G14" i="3"/>
  <c r="G12" i="3"/>
  <c r="G11" i="3"/>
  <c r="G17" i="3"/>
  <c r="J20" i="3" l="1"/>
  <c r="K10" i="3" a="1"/>
  <c r="K10" i="3" s="1"/>
  <c r="K20" i="3" s="1"/>
  <c r="E25" i="3" s="1" a="1"/>
  <c r="E25" i="3" s="1"/>
  <c r="B30" i="4" a="1"/>
  <c r="D65" i="4" a="1"/>
  <c r="D70" i="4" a="1"/>
  <c r="D72" i="4" a="1"/>
  <c r="D71" i="4" a="1"/>
  <c r="D51" i="4" a="1"/>
  <c r="D67" i="4" a="1"/>
  <c r="D17" i="4" a="1"/>
  <c r="D73" i="4" a="1"/>
  <c r="D69" i="4" a="1"/>
  <c r="D74" i="4" a="1"/>
  <c r="B6" i="4" a="1"/>
  <c r="D66" i="4" a="1"/>
  <c r="D68" i="4" a="1"/>
  <c r="D68" i="4" l="1"/>
  <c r="D66" i="4"/>
  <c r="B6" i="4"/>
  <c r="D74" i="4"/>
  <c r="D69" i="4"/>
  <c r="D73" i="4"/>
  <c r="D17" i="4"/>
  <c r="D67" i="4"/>
  <c r="D51" i="4"/>
  <c r="D71" i="4"/>
  <c r="D72" i="4"/>
  <c r="D70" i="4"/>
  <c r="D65" i="4"/>
  <c r="C36" i="4"/>
  <c r="B36" i="4"/>
  <c r="B59" i="4" s="1"/>
  <c r="E39" i="4"/>
  <c r="C33" i="4"/>
  <c r="G56" i="4" s="1"/>
  <c r="D36" i="4"/>
  <c r="B34" i="4"/>
  <c r="B57" i="4" s="1"/>
  <c r="E35" i="4"/>
  <c r="D34" i="4"/>
  <c r="C30" i="4"/>
  <c r="B32" i="4"/>
  <c r="B55" i="4" s="1"/>
  <c r="E36" i="4"/>
  <c r="E31" i="4"/>
  <c r="D32" i="4"/>
  <c r="B35" i="4"/>
  <c r="B58" i="4" s="1"/>
  <c r="E34" i="4"/>
  <c r="B30" i="4"/>
  <c r="B53" i="4" s="1"/>
  <c r="C39" i="4"/>
  <c r="D30" i="4"/>
  <c r="B38" i="4"/>
  <c r="B61" i="4" s="1"/>
  <c r="D39" i="4"/>
  <c r="F62" i="4" s="1"/>
  <c r="E32" i="4"/>
  <c r="C37" i="4"/>
  <c r="G60" i="4" s="1"/>
  <c r="C38" i="4"/>
  <c r="G61" i="4" s="1"/>
  <c r="D31" i="4"/>
  <c r="B33" i="4"/>
  <c r="B56" i="4" s="1"/>
  <c r="E30" i="4"/>
  <c r="D37" i="4"/>
  <c r="C35" i="4"/>
  <c r="G58" i="4" s="1"/>
  <c r="D38" i="4"/>
  <c r="C34" i="4"/>
  <c r="G57" i="4" s="1"/>
  <c r="B39" i="4"/>
  <c r="B62" i="4" s="1"/>
  <c r="B31" i="4"/>
  <c r="B54" i="4" s="1"/>
  <c r="E37" i="4"/>
  <c r="D35" i="4"/>
  <c r="C31" i="4"/>
  <c r="C32" i="4"/>
  <c r="G55" i="4" s="1"/>
  <c r="B37" i="4"/>
  <c r="B60" i="4" s="1"/>
  <c r="E38" i="4"/>
  <c r="E33" i="4"/>
  <c r="D33" i="4"/>
  <c r="E26" i="3"/>
  <c r="D13" i="4" a="1"/>
  <c r="F56" i="4" l="1"/>
  <c r="F54" i="4"/>
  <c r="F57" i="4"/>
  <c r="F61" i="4"/>
  <c r="F55" i="4"/>
  <c r="F58" i="4"/>
  <c r="F53" i="4"/>
  <c r="G54" i="4"/>
  <c r="F60" i="4"/>
  <c r="D13" i="4"/>
  <c r="G62" i="4"/>
  <c r="G53" i="4"/>
  <c r="G59" i="4"/>
  <c r="F5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<sst xmlns="http://schemas.openxmlformats.org/spreadsheetml/2006/main" count="249" uniqueCount="214">
  <si>
    <t>Probability of Ruin</t>
  </si>
  <si>
    <t>ModelRisk example  ·  General use  ·  GU-03</t>
  </si>
  <si>
    <t>Could this year's risks ruin the company?  A register sorted by expected cost hides the one that can.</t>
  </si>
  <si>
    <t>Next:  Inputs  ▸</t>
  </si>
  <si>
    <t>Model card</t>
  </si>
  <si>
    <t>Industry</t>
  </si>
  <si>
    <t>General use</t>
  </si>
  <si>
    <t>Difficulty</t>
  </si>
  <si>
    <t>★★☆☆☆   Ten risk events with fixed costs: the chance that their total ruins the company, simulated and exact.</t>
  </si>
  <si>
    <t>Business question</t>
  </si>
  <si>
    <t>A small engineering company's risk register lists ten risks, sorted by expected cost. A loss of US$5 million or more in one year would ruin it. What is the probability of ruin, and which risks cause it?</t>
  </si>
  <si>
    <t>Who it is for</t>
  </si>
  <si>
    <t>Risk managers, finance directors, and anyone who sorts a risk register by probability × impact.</t>
  </si>
  <si>
    <t>Main outputs</t>
  </si>
  <si>
    <t>The probability of ruin, simulated and exact · the expected loss · the risks without which ruin is impossible · the probability of a loss above other thresholds · the losses exceeded once in 2 to 2,000 years · the tornado of the risks.</t>
  </si>
  <si>
    <t>ModelRisk techniques</t>
  </si>
  <si>
    <t>Risk events with fixed costs (VoseBernoulli) · the probability of ruin as the mean of a 1/0 outcome (VoseSimMean) · the exact probability by enumerating every combination of the risks (SEQUENCE and MMULT) · a return-period curve · tornado ranking (VoseSimSensitivityMean).</t>
  </si>
  <si>
    <t>File</t>
  </si>
  <si>
    <t>GU-03 Probability of ruin  ·  Version 1.0  ·  October 2026  ·  re-issues the example Probability of Ruin  ·  built with ModelRisk 10</t>
  </si>
  <si>
    <t>The business question</t>
  </si>
  <si>
    <t>A small engineering company keeps a register of ten risks, each with a probability for the coming year and a cost if it happens. Like many registers, it is sorted by expected cost, probability × cost, so that the risks at the top get the most attention. The company's reserves and bank facilities can absorb a loss of up to US$5 million (5,000 thousand) in a year; a larger loss would ruin it. The model simulates the year to find the probability of ruin, calculates the same probability exactly, and shows which risks can cause it. Expected cost and ruin rank the risks very differently.</t>
  </si>
  <si>
    <t>How the model works</t>
  </si>
  <si>
    <t>Three sheets after this one, read from left to right. Each one feeds the next.</t>
  </si>
  <si>
    <t>1  Inputs</t>
  </si>
  <si>
    <t>The ruin threshold: the loss in one year that the company could not survive.</t>
  </si>
  <si>
    <t>2  Risks</t>
  </si>
  <si>
    <t>The register, sorted by expected cost, with two questions for each risk: can it ruin the company on its own, and is ruin still possible without it? In each iteration VoseBernoulli decides which risks happen and their costs are added up. The exact probability of ruin adds up the probabilities of every combination of risks whose total reaches the threshold: 2^10 = 1,024 combinations, in one formula.</t>
  </si>
  <si>
    <t>3  Results</t>
  </si>
  <si>
    <t>The probability of ruin, simulated and exact; the exact probability at other thresholds; the losses exceeded once in 2 to 2,000 years; the tornado of the risks.</t>
  </si>
  <si>
    <t>How to use it</t>
  </si>
  <si>
    <t>Step 1</t>
  </si>
  <si>
    <t>Replace the ten risks on the Risks sheet with your own: probability and cost.</t>
  </si>
  <si>
    <t>Step 2</t>
  </si>
  <si>
    <t>Set the ruin threshold on the Inputs sheet.</t>
  </si>
  <si>
    <t>Step 3</t>
  </si>
  <si>
    <t>Run a simulation from the ModelRisk ribbon (10,000 samples with a fixed seed are set).</t>
  </si>
  <si>
    <t>Step 4</t>
  </si>
  <si>
    <t>Compare the two rankings: by expected cost, and by what each risk does when it happens.</t>
  </si>
  <si>
    <t>Workbook map</t>
  </si>
  <si>
    <t>Inputs</t>
  </si>
  <si>
    <t>The ruin threshold.</t>
  </si>
  <si>
    <t>Risks</t>
  </si>
  <si>
    <t>The register with its two questions per risk; this year's outcome; exact results, outputs and checks.</t>
  </si>
  <si>
    <t>Results</t>
  </si>
  <si>
    <t>Probability of ruin, other thresholds, return periods and the ranking of the risks.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</si>
  <si>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</si>
  <si>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</si>
  <si>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</si>
  <si>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</si>
  <si>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</si>
  <si>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</si>
  <si>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</si>
  <si>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</si>
  <si>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</si>
  <si>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</si>
  <si>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</si>
  <si>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</si>
  <si>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</si>
  <si>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thousand (US$k): 5,000 is US$5 million.</t>
  </si>
  <si>
    <t>Ruin</t>
  </si>
  <si>
    <t>A loss of at least the threshold in one year.</t>
  </si>
  <si>
    <t>Return period</t>
  </si>
  <si>
    <t>A loss exceeded once in T years on average: the (1 − 1/T) percentile of the annual loss.</t>
  </si>
  <si>
    <t>Key assumptions and limitations</t>
  </si>
  <si>
    <t>Independence</t>
  </si>
  <si>
    <t>The risks happen independently of each other.</t>
  </si>
  <si>
    <t>Fixed costs</t>
  </si>
  <si>
    <t>Each risk costs a fixed amount if it happens, as in the original example.</t>
  </si>
  <si>
    <t>One year</t>
  </si>
  <si>
    <t>Only this year's losses count, against the reserves at the start of the year.</t>
  </si>
  <si>
    <t>Data</t>
  </si>
  <si>
    <t>The company and its risks are invented for this example; the probabilities and costs are those of ModelRisk's earlier Probability of Ruin example.</t>
  </si>
  <si>
    <t>ModelRisk functions used</t>
  </si>
  <si>
    <t>VoseBernoulli</t>
  </si>
  <si>
    <t>Whether each risk happens this year.</t>
  </si>
  <si>
    <t>VoseInput, VoseOutput</t>
  </si>
  <si>
    <t>Name each risk's cost and the total loss, for the Results Viewer and the tornado.</t>
  </si>
  <si>
    <t>VoseSimMean</t>
  </si>
  <si>
    <t>The probability of ruin: the mean of the 1/0 ruin outcome over the iterations.</t>
  </si>
  <si>
    <t>VoseSimPercentile</t>
  </si>
  <si>
    <t>The return-period curve: the loss exceeded once in T years.</t>
  </si>
  <si>
    <t>VoseSimSensitivityMean</t>
  </si>
  <si>
    <t>The tornado chart: each risk ranked by how far the mean loss moves when it happens.</t>
  </si>
  <si>
    <t>SEQUENCE, MMULT  (Excel)</t>
  </si>
  <si>
    <t>The exact probability: every combination of the risks in one formula.</t>
  </si>
  <si>
    <t>Further reading</t>
  </si>
  <si>
    <t>Probability of ruin</t>
  </si>
  <si>
    <t>Vose, D. (2008). Risk Analysis: A Quantitative Guide, 3rd edition. Wiley.</t>
  </si>
  <si>
    <t>Risk registers</t>
  </si>
  <si>
    <t>Hillson, D. and Simon, P. (2020). Practical Project Risk Management: The ATOM Methodology, 3rd edition. Berrett-Koehler.</t>
  </si>
  <si>
    <t>© 2026 Vose Software   ·   www.vosesoftware.com   ·   An illustrative example: the figures are invented for teaching and do not describe a real company, project or asset.</t>
  </si>
  <si>
    <t>INPUTS   ·   The ruin threshold. The ten risks are on the Risks sheet. Change only the yellow cells.</t>
  </si>
  <si>
    <t>◂  About</t>
  </si>
  <si>
    <t>Next:  Risks  ▸</t>
  </si>
  <si>
    <t>How to read this sheet:  yellow cells are inputs.</t>
  </si>
  <si>
    <t>1   Ruin</t>
  </si>
  <si>
    <t>The loss in one year that the company could not survive.</t>
  </si>
  <si>
    <t>Assumption</t>
  </si>
  <si>
    <t>Unit</t>
  </si>
  <si>
    <t>Value in model</t>
  </si>
  <si>
    <t>Uncertainty</t>
  </si>
  <si>
    <t>Basis / source (illustrative)</t>
  </si>
  <si>
    <t>Loss that would ruin the company</t>
  </si>
  <si>
    <t>US$k</t>
  </si>
  <si>
    <t>Fixed</t>
  </si>
  <si>
    <t>Reserves plus the bank's facilities: a loss this large or larger is ruin.</t>
  </si>
  <si>
    <t>RISKS   ·   Ten risks sorted by expected cost, what each can do, and this year's outcome.</t>
  </si>
  <si>
    <t>◂  Inputs</t>
  </si>
  <si>
    <t>Next:  Results  ▸</t>
  </si>
  <si>
    <t>1   The risk register</t>
  </si>
  <si>
    <t>Yellow cells are inputs. The register is sorted by expected cost, as in the original example.</t>
  </si>
  <si>
    <t>ID</t>
  </si>
  <si>
    <t>Risk</t>
  </si>
  <si>
    <t>Probability</t>
  </si>
  <si>
    <t>Cost if it happens</t>
  </si>
  <si>
    <t>Expected cost</t>
  </si>
  <si>
    <t>Rank</t>
  </si>
  <si>
    <t>Can ruin on its own?</t>
  </si>
  <si>
    <t>Ruin possible without it?</t>
  </si>
  <si>
    <t>Happens?</t>
  </si>
  <si>
    <t>Loss</t>
  </si>
  <si>
    <t>How it is calculated</t>
  </si>
  <si>
    <t>this year</t>
  </si>
  <si>
    <t>by expected cost</t>
  </si>
  <si>
    <t>1 = yes</t>
  </si>
  <si>
    <t>A</t>
  </si>
  <si>
    <t>Key fixed-price project overruns</t>
  </si>
  <si>
    <t>Expected cost = probability × cost if it happens</t>
  </si>
  <si>
    <t>B</t>
  </si>
  <si>
    <t>Loss of a major customer</t>
  </si>
  <si>
    <t>Can ruin on its own: its cost reaches the threshold</t>
  </si>
  <si>
    <t>C</t>
  </si>
  <si>
    <t>Product liability claim</t>
  </si>
  <si>
    <t>Ruin possible without it: the other costs together reach it</t>
  </si>
  <si>
    <t>D</t>
  </si>
  <si>
    <t>Fire at the main workshop (uninsured part)</t>
  </si>
  <si>
    <t>Happens: VoseBernoulli(probability); loss = happens × cost</t>
  </si>
  <si>
    <t>E</t>
  </si>
  <si>
    <t>IT failure with loss of data</t>
  </si>
  <si>
    <t>F</t>
  </si>
  <si>
    <t>Late-delivery penalties</t>
  </si>
  <si>
    <t>G</t>
  </si>
  <si>
    <t>Key engineers leave</t>
  </si>
  <si>
    <t>H</t>
  </si>
  <si>
    <t>Exchange-rate loss on imported parts</t>
  </si>
  <si>
    <t>I</t>
  </si>
  <si>
    <t>Fraud by an employee</t>
  </si>
  <si>
    <t>J</t>
  </si>
  <si>
    <t>Fatal accident caused by a delivered machine</t>
  </si>
  <si>
    <t>Total</t>
  </si>
  <si>
    <t>Expected loss; risks that happen; this year's loss</t>
  </si>
  <si>
    <t>2   Value in this iteration</t>
  </si>
  <si>
    <t>Key outputs, recorded by ModelRisk at every sample (VoseOutput). Their statistics appear on the Results sheet.</t>
  </si>
  <si>
    <t>Output</t>
  </si>
  <si>
    <t>Value</t>
  </si>
  <si>
    <t>Meaning</t>
  </si>
  <si>
    <t>Total loss this year</t>
  </si>
  <si>
    <t>The costs of the risks that happen.</t>
  </si>
  <si>
    <t>Ruined?  (1 = a loss of at least the threshold)</t>
  </si>
  <si>
    <t>1 / 0</t>
  </si>
  <si>
    <t>Its mean over the iterations is the probability of ruin.</t>
  </si>
  <si>
    <t>3   Exact results</t>
  </si>
  <si>
    <t>Calculated directly from the register: no simulation needed.</t>
  </si>
  <si>
    <t>Expected loss this year</t>
  </si>
  <si>
    <t>Probability × cost, summed over the register.</t>
  </si>
  <si>
    <t>Largest possible loss  (every risk happens)</t>
  </si>
  <si>
    <t>Probability of ruin, exact</t>
  </si>
  <si>
    <t>probability</t>
  </si>
  <si>
    <t>All 1,024 combinations of the risks, with their probabilities.</t>
  </si>
  <si>
    <t>Risks without which ruin is impossible</t>
  </si>
  <si>
    <t>Ruin needs every one of these to happen.</t>
  </si>
  <si>
    <t>4   Model checks</t>
  </si>
  <si>
    <t>Should all read OK. A CHECK means an input has been set outside the range the model is built for.</t>
  </si>
  <si>
    <t>Probabilities are above 0% and below 100%</t>
  </si>
  <si>
    <t>Costs are not negative</t>
  </si>
  <si>
    <t>RESULTS   ·   Filled in automatically from the last simulation. Run a simulation after changing any input.</t>
  </si>
  <si>
    <t>◂  Risks</t>
  </si>
  <si>
    <t>1   Probability of ruin</t>
  </si>
  <si>
    <t>Loss exceeded once in T years</t>
  </si>
  <si>
    <t>The chance that this year's loss reaches the threshold on the Inputs sheet.</t>
  </si>
  <si>
    <t>Measure</t>
  </si>
  <si>
    <t>Probability of ruin, simulated</t>
  </si>
  <si>
    <t>Ruin threshold  (Inputs sheet)</t>
  </si>
  <si>
    <t>Expected loss  (exact)</t>
  </si>
  <si>
    <t>Mean loss  (simulated)</t>
  </si>
  <si>
    <t>2   Ruin at other thresholds</t>
  </si>
  <si>
    <t>Exact probability that the year's loss reaches each threshold: every combination of the risks.</t>
  </si>
  <si>
    <t>Threshold</t>
  </si>
  <si>
    <t>Once in</t>
  </si>
  <si>
    <t>A loss of 1,000 or more</t>
  </si>
  <si>
    <t>A loss of 2,000 or more</t>
  </si>
  <si>
    <t>A loss of 3,000 or more</t>
  </si>
  <si>
    <t>A loss of 4,000 or more</t>
  </si>
  <si>
    <t>A loss of 5,000 or more</t>
  </si>
  <si>
    <t>3   Which risks matter</t>
  </si>
  <si>
    <t>Which risks drive the loss  (US$k)</t>
  </si>
  <si>
    <t>Lowest and highest mean loss over ten equal groups of each risk's cost (VoseSimSensitivityMean): the effect of a risk when it happens.</t>
  </si>
  <si>
    <t>Input (ranked by influence)</t>
  </si>
  <si>
    <t>Lowest mean</t>
  </si>
  <si>
    <t>Highest mean</t>
  </si>
  <si>
    <t>4   How to read these results</t>
  </si>
  <si>
    <t>•  Sorted by expected cost, J comes last: 0.1% × 8,000 = 8. Yet it is the only risk that can ruin the company: the other nine together cost at most 3,470.</t>
  </si>
  <si>
    <t>•  So the probability of ruin is J's probability, 0.1%: once in a thousand years. A simulation of 10,000 years sees it only about ten times, and its estimate moves by about a third from one seed to another. The exact figure needs no simulation.</t>
  </si>
  <si>
    <t>•  At lower thresholds the ordinary risks start to combine: a loss of 1,000 or more comes about once in 17 years, almost always without J.</t>
  </si>
  <si>
    <t>•  Expected cost is the right ranking for a budget, not for survival. For ruin, rank the risks by what they do when they happen, as the tornado does, and look at the far end of the return-period curve.</t>
  </si>
  <si>
    <t>Chart data</t>
  </si>
  <si>
    <t>Statistics of the last simulation behind the charts and the ranking above. Grouped: click + in the left margin to show them.</t>
  </si>
  <si>
    <t>Overall mean of Loss</t>
  </si>
  <si>
    <t>Ranked input (chart)</t>
  </si>
  <si>
    <t>Highest − mean</t>
  </si>
  <si>
    <t>Lowest − mean</t>
  </si>
  <si>
    <t>Return period (years)</t>
  </si>
  <si>
    <t>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</si>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</sst>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
    <numFmt numFmtId="165" formatCode="0.0%"/>
    <numFmt numFmtId="166" formatCode="0.00%;\-0.00%;0.00%;&quot;–&quot;"/>
    <numFmt numFmtId="167" formatCode="#,##0_);\(#,##0\);&quot;–&quot;_);&quot;–&quot;"/>
    <numFmt numFmtId="168" formatCode="#,##0&quot; years&quot;"/>
    <numFmt numFmtId="169"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1" fillId="2" borderId="7" xfId="1" applyNumberFormat="1" applyBorder="1">
      <alignment horizontal="right" vertical="center"/>
    </xf>
    <xf numFmtId="164" fontId="3" fillId="0" borderId="8" xfId="3" applyNumberFormat="1" applyBorder="1">
      <alignment horizontal="right" vertical="center"/>
    </xf>
    <xf numFmtId="1" fontId="3" fillId="0" borderId="8" xfId="3" applyNumberFormat="1" applyBorder="1">
      <alignment horizontal="right" vertical="center"/>
    </xf>
    <xf numFmtId="0" fontId="3" fillId="0" borderId="8" xfId="3" applyBorder="1">
      <alignment horizontal="right" vertical="center"/>
    </xf>
    <xf numFmtId="1" fontId="2" fillId="3" borderId="7" xfId="2" applyNumberFormat="1" applyBorder="1">
      <alignment horizontal="right" vertical="center"/>
    </xf>
    <xf numFmtId="164" fontId="2" fillId="3" borderId="7" xfId="2"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1" fontId="12" fillId="0" borderId="9" xfId="3" applyNumberFormat="1" applyFont="1" applyBorder="1">
      <alignment horizontal="right" vertical="center"/>
    </xf>
    <xf numFmtId="0" fontId="18" fillId="0" borderId="9" xfId="0" applyFont="1" applyBorder="1" applyAlignment="1">
      <alignment horizontal="left" vertical="center"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4" fillId="4" borderId="10" xfId="4" applyNumberFormat="1" applyBorder="1">
      <alignment horizontal="right" vertical="center"/>
    </xf>
    <xf numFmtId="10" fontId="3" fillId="0" borderId="8" xfId="3"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0" fontId="11" fillId="0" borderId="6" xfId="0" applyFont="1" applyBorder="1" applyAlignment="1">
      <alignment horizontal="left" vertical="center" indent="1"/>
    </xf>
    <xf numFmtId="166" fontId="21" fillId="5" borderId="7" xfId="5" applyNumberFormat="1" applyFont="1" applyBorder="1">
      <alignment horizontal="right" vertical="center"/>
    </xf>
    <xf numFmtId="0" fontId="22" fillId="0" borderId="6" xfId="0" applyFont="1" applyBorder="1" applyAlignment="1">
      <alignment horizontal="left" vertical="center" indent="1"/>
    </xf>
    <xf numFmtId="167" fontId="1" fillId="5" borderId="7" xfId="5" applyNumberFormat="1" applyBorder="1">
      <alignment horizontal="right" vertical="center"/>
    </xf>
    <xf numFmtId="168" fontId="3" fillId="0" borderId="8" xfId="3" applyNumberFormat="1" applyBorder="1">
      <alignment horizontal="right" vertical="center"/>
    </xf>
    <xf numFmtId="0" fontId="17" fillId="7" borderId="4" xfId="0" applyFont="1" applyFill="1" applyBorder="1" applyAlignment="1">
      <alignment horizontal="center" vertical="center" wrapText="1"/>
    </xf>
    <xf numFmtId="169" fontId="1" fillId="5" borderId="7" xfId="5" applyNumberFormat="1" applyBorder="1" applyAlignment="1">
      <alignment horizontal="center" vertical="center"/>
    </xf>
    <xf numFmtId="0" fontId="3" fillId="0" borderId="0" xfId="0" applyFont="1" applyAlignment="1">
      <alignment horizontal="left" vertical="center" indent="1"/>
    </xf>
    <xf numFmtId="167"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3" fontId="3" fillId="0" borderId="2" xfId="3" applyNumberFormat="1">
      <alignment horizontal="right" vertical="center"/>
    </xf>
    <xf numFmtId="165"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B45309"/>
      </font>
      <fill>
        <patternFill patternType="solid">
          <fgColor rgb="FFFEF3C7"/>
          <bgColor rgb="FFFEF3C7"/>
        </patternFill>
      </fill>
    </dxf>
    <dxf>
      <font>
        <b/>
        <color rgb="FFB91C1C"/>
      </font>
    </dxf>
    <dxf>
      <font>
        <b/>
        <color rgb="FFB91C1C"/>
      </font>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loss</c:v>
          </c:tx>
          <c:spPr>
            <a:ln w="22000">
              <a:solidFill>
                <a:srgbClr val="0E4F92"/>
              </a:solidFill>
              <a:prstDash val="solid"/>
            </a:ln>
          </c:spPr>
          <c:marker>
            <c:symbol val="circle"/>
            <c:size val="4"/>
            <c:spPr>
              <a:solidFill>
                <a:srgbClr val="0E4F92"/>
              </a:solidFill>
              <a:ln>
                <a:solidFill>
                  <a:srgbClr val="0E4F92"/>
                </a:solidFill>
                <a:prstDash val="solid"/>
              </a:ln>
            </c:spPr>
          </c:marker>
          <c:xVal>
            <c:numRef>
              <c:f>Results!$B$65:$B$74</c:f>
              <c:numCache>
                <c:formatCode>#,##0</c:formatCode>
                <c:ptCount val="10"/>
                <c:pt idx="0">
                  <c:v>2</c:v>
                </c:pt>
                <c:pt idx="1">
                  <c:v>5</c:v>
                </c:pt>
                <c:pt idx="2">
                  <c:v>10</c:v>
                </c:pt>
                <c:pt idx="3">
                  <c:v>20</c:v>
                </c:pt>
                <c:pt idx="4">
                  <c:v>50</c:v>
                </c:pt>
                <c:pt idx="5">
                  <c:v>100</c:v>
                </c:pt>
                <c:pt idx="6">
                  <c:v>200</c:v>
                </c:pt>
                <c:pt idx="7">
                  <c:v>500</c:v>
                </c:pt>
                <c:pt idx="8">
                  <c:v>1000</c:v>
                </c:pt>
                <c:pt idx="9">
                  <c:v>2000</c:v>
                </c:pt>
              </c:numCache>
            </c:numRef>
          </c:xVal>
          <c:yVal>
            <c:numRef>
              <c:f>Results!$D$65:$D$74</c:f>
              <c:numCache>
                <c:formatCode>#,##0.00</c:formatCode>
                <c:ptCount val="10"/>
                <c:pt idx="0">
                  <c:v>290</c:v>
                </c:pt>
                <c:pt idx="1">
                  <c:v>600</c:v>
                </c:pt>
                <c:pt idx="2">
                  <c:v>800</c:v>
                </c:pt>
                <c:pt idx="3">
                  <c:v>1010</c:v>
                </c:pt>
                <c:pt idx="4">
                  <c:v>1290</c:v>
                </c:pt>
                <c:pt idx="5">
                  <c:v>1470</c:v>
                </c:pt>
                <c:pt idx="6">
                  <c:v>1650</c:v>
                </c:pt>
                <c:pt idx="7">
                  <c:v>1990</c:v>
                </c:pt>
                <c:pt idx="8">
                  <c:v>8060</c:v>
                </c:pt>
                <c:pt idx="9">
                  <c:v>8450</c:v>
                </c:pt>
              </c:numCache>
            </c:numRef>
          </c:yVal>
          <c:smooth val="0"/>
          <c:extLst>
            <c:ext xmlns:c16="http://schemas.microsoft.com/office/drawing/2014/chart" uri="{C3380CC4-5D6E-409C-BE32-E72D297353CC}">
              <c16:uniqueId val="{00000000-6D8E-45BB-806C-089164BA0EB7}"/>
            </c:ext>
          </c:extLst>
        </c:ser>
        <c:dLbls>
          <c:showLegendKey val="0"/>
          <c:showVal val="0"/>
          <c:showCatName val="0"/>
          <c:showSerName val="0"/>
          <c:showPercent val="0"/>
          <c:showBubbleSize val="0"/>
        </c:dLbls>
        <c:axId val="10"/>
        <c:axId val="20"/>
      </c:scatterChart>
      <c:valAx>
        <c:axId val="10"/>
        <c:scaling>
          <c:logBase val="10"/>
          <c:orientation val="minMax"/>
          <c:max val="10000"/>
          <c:min val="1"/>
        </c:scaling>
        <c:delete val="0"/>
        <c:axPos val="b"/>
        <c:title>
          <c:tx>
            <c:rich>
              <a:bodyPr/>
              <a:lstStyle/>
              <a:p>
                <a:pPr>
                  <a:defRPr/>
                </a:pPr>
                <a:r>
                  <a:rPr lang="en-US"/>
                  <a:t>Return period (years, logarithmic scale)</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Loss (US$k)</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Results!$B$53:$B$62</c:f>
              <c:strCache>
                <c:ptCount val="10"/>
                <c:pt idx="0">
                  <c:v>J  Fatal accident caused by a delivered machine</c:v>
                </c:pt>
                <c:pt idx="1">
                  <c:v>I  Fraud by an employee</c:v>
                </c:pt>
                <c:pt idx="2">
                  <c:v>D  Fire at the main workshop (uninsured part)</c:v>
                </c:pt>
                <c:pt idx="3">
                  <c:v>C  Product liability claim</c:v>
                </c:pt>
                <c:pt idx="4">
                  <c:v>A  Key fixed-price project overruns</c:v>
                </c:pt>
                <c:pt idx="5">
                  <c:v>E  IT failure with loss of data</c:v>
                </c:pt>
                <c:pt idx="6">
                  <c:v>B  Loss of a major customer</c:v>
                </c:pt>
                <c:pt idx="7">
                  <c:v>G  Key engineers leave</c:v>
                </c:pt>
                <c:pt idx="8">
                  <c:v>F  Late-delivery penalties</c:v>
                </c:pt>
                <c:pt idx="9">
                  <c:v>H  Exchange-rate loss on imported parts</c:v>
                </c:pt>
              </c:strCache>
            </c:strRef>
          </c:cat>
          <c:val>
            <c:numRef>
              <c:f>Results!$F$53:$F$62</c:f>
              <c:numCache>
                <c:formatCode>#,##0_);\(#,##0\);"–"_)</c:formatCode>
                <c:ptCount val="10"/>
                <c:pt idx="0">
                  <c:v>8004.2847142857136</c:v>
                </c:pt>
                <c:pt idx="1">
                  <c:v>976.19465217391303</c:v>
                </c:pt>
                <c:pt idx="2">
                  <c:v>784.20068067226885</c:v>
                </c:pt>
                <c:pt idx="3">
                  <c:v>447.75203643724694</c:v>
                </c:pt>
                <c:pt idx="4">
                  <c:v>295.21508643457389</c:v>
                </c:pt>
                <c:pt idx="5">
                  <c:v>266.5827563451777</c:v>
                </c:pt>
                <c:pt idx="6">
                  <c:v>136.91625529767913</c:v>
                </c:pt>
                <c:pt idx="7">
                  <c:v>96.607961303462332</c:v>
                </c:pt>
                <c:pt idx="8">
                  <c:v>71.258644414625962</c:v>
                </c:pt>
                <c:pt idx="9">
                  <c:v>44.127083812098704</c:v>
                </c:pt>
              </c:numCache>
            </c:numRef>
          </c:val>
          <c:extLst>
            <c:ext xmlns:c16="http://schemas.microsoft.com/office/drawing/2014/chart" uri="{C3380CC4-5D6E-409C-BE32-E72D297353CC}">
              <c16:uniqueId val="{00000000-FDFF-4E79-B6EB-335712BBA370}"/>
            </c:ext>
          </c:extLst>
        </c:ser>
        <c:ser>
          <c:idx val="1"/>
          <c:order val="1"/>
          <c:tx>
            <c:v>Lowest group mean</c:v>
          </c:tx>
          <c:spPr>
            <a:solidFill>
              <a:srgbClr val="B91C1C"/>
            </a:solidFill>
            <a:ln>
              <a:noFill/>
              <a:prstDash val="solid"/>
            </a:ln>
          </c:spPr>
          <c:invertIfNegative val="0"/>
          <c:cat>
            <c:strRef>
              <c:f>Results!$B$53:$B$62</c:f>
              <c:strCache>
                <c:ptCount val="10"/>
                <c:pt idx="0">
                  <c:v>J  Fatal accident caused by a delivered machine</c:v>
                </c:pt>
                <c:pt idx="1">
                  <c:v>I  Fraud by an employee</c:v>
                </c:pt>
                <c:pt idx="2">
                  <c:v>D  Fire at the main workshop (uninsured part)</c:v>
                </c:pt>
                <c:pt idx="3">
                  <c:v>C  Product liability claim</c:v>
                </c:pt>
                <c:pt idx="4">
                  <c:v>A  Key fixed-price project overruns</c:v>
                </c:pt>
                <c:pt idx="5">
                  <c:v>E  IT failure with loss of data</c:v>
                </c:pt>
                <c:pt idx="6">
                  <c:v>B  Loss of a major customer</c:v>
                </c:pt>
                <c:pt idx="7">
                  <c:v>G  Key engineers leave</c:v>
                </c:pt>
                <c:pt idx="8">
                  <c:v>F  Late-delivery penalties</c:v>
                </c:pt>
                <c:pt idx="9">
                  <c:v>H  Exchange-rate loss on imported parts</c:v>
                </c:pt>
              </c:strCache>
            </c:strRef>
          </c:cat>
          <c:val>
            <c:numRef>
              <c:f>Results!$G$53:$G$62</c:f>
              <c:numCache>
                <c:formatCode>#,##0_);\(#,##0\);"–"_)</c:formatCode>
                <c:ptCount val="10"/>
                <c:pt idx="0">
                  <c:v>-11.221708992589583</c:v>
                </c:pt>
                <c:pt idx="1">
                  <c:v>-9.0643831247476783</c:v>
                </c:pt>
                <c:pt idx="2">
                  <c:v>-39.193566148677007</c:v>
                </c:pt>
                <c:pt idx="3">
                  <c:v>-49.087773191300471</c:v>
                </c:pt>
                <c:pt idx="4">
                  <c:v>-98.352553126249802</c:v>
                </c:pt>
                <c:pt idx="5">
                  <c:v>-29.127455906821922</c:v>
                </c:pt>
                <c:pt idx="6">
                  <c:v>-57.926857407143871</c:v>
                </c:pt>
                <c:pt idx="7">
                  <c:v>-23.611004977600771</c:v>
                </c:pt>
                <c:pt idx="8">
                  <c:v>-30.263857956973879</c:v>
                </c:pt>
                <c:pt idx="9">
                  <c:v>-18.544530748473221</c:v>
                </c:pt>
              </c:numCache>
            </c:numRef>
          </c:val>
          <c:extLst>
            <c:ext xmlns:c16="http://schemas.microsoft.com/office/drawing/2014/chart" uri="{C3380CC4-5D6E-409C-BE32-E72D297353CC}">
              <c16:uniqueId val="{00000001-FDFF-4E79-B6EB-335712BBA370}"/>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412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8" t="s">
        <v>20</v>
      </c>
      <c r="C16" s="6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68</v>
      </c>
      <c r="C58" s="10" t="s">
        <v>69</v>
      </c>
    </row>
    <row r="59" spans="2:3" x14ac:dyDescent="0.45">
      <c r="B59" s="9" t="s">
        <v>70</v>
      </c>
      <c r="C59" s="10" t="s">
        <v>71</v>
      </c>
    </row>
    <row r="60" spans="2:3" ht="12" customHeight="1" x14ac:dyDescent="0.45"/>
    <row r="61" spans="2:3" ht="22.05" customHeight="1" x14ac:dyDescent="0.5">
      <c r="B61" s="7" t="s">
        <v>72</v>
      </c>
      <c r="C61" s="8"/>
    </row>
    <row r="62" spans="2:3" x14ac:dyDescent="0.45">
      <c r="B62" s="20" t="s">
        <v>73</v>
      </c>
      <c r="C62" s="10" t="s">
        <v>74</v>
      </c>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0" t="s">
        <v>90</v>
      </c>
      <c r="C73" s="69"/>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Risks'!A1" display="Risk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71" t="s">
        <v>94</v>
      </c>
      <c r="C6" s="69"/>
      <c r="D6" s="69"/>
      <c r="E6" s="69"/>
      <c r="F6" s="69"/>
      <c r="G6" s="69"/>
      <c r="H6" s="69"/>
      <c r="I6" s="69"/>
      <c r="J6" s="69"/>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5000</v>
      </c>
      <c r="E11" s="26" t="s">
        <v>104</v>
      </c>
      <c r="F11" s="28"/>
      <c r="G11" s="28"/>
      <c r="H11" s="28"/>
      <c r="I11" s="28"/>
      <c r="J11" s="29" t="s">
        <v>105</v>
      </c>
    </row>
    <row r="12" spans="1:10" ht="8" customHeight="1" x14ac:dyDescent="0.45"/>
  </sheetData>
  <mergeCells count="1">
    <mergeCell ref="B6:J6"/>
  </mergeCells>
  <dataValidations count="1">
    <dataValidation type="decimal" operator="greaterThan" showErrorMessage="1" errorTitle="Positive value" error="Enter a value greater than zero." sqref="D11" xr:uid="{00000000-0002-0000-0100-000000000000}">
      <formula1>0</formula1>
    </dataValidation>
  </dataValidations>
  <hyperlinks>
    <hyperlink ref="B4" location="'About'!A1" display="◂  About" xr:uid="{00000000-0004-0000-0100-000000000000}"/>
    <hyperlink ref="J4" location="'Risks'!A1" display="Next:  Risk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L40"/>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44" customWidth="1"/>
    <col min="4" max="6" width="11" customWidth="1"/>
    <col min="7" max="7" width="10" customWidth="1"/>
    <col min="8" max="8" width="11" customWidth="1"/>
    <col min="9" max="9" width="12" customWidth="1"/>
    <col min="10" max="10" width="10" customWidth="1"/>
    <col min="11" max="11" width="11" customWidth="1"/>
    <col min="12" max="12" width="52" customWidth="1"/>
  </cols>
  <sheetData>
    <row r="1" spans="1:12" ht="6" customHeight="1" x14ac:dyDescent="0.45"/>
    <row r="2" spans="1:12" ht="30" customHeight="1" x14ac:dyDescent="0.45">
      <c r="A2" s="1"/>
      <c r="B2" s="21" t="s">
        <v>0</v>
      </c>
      <c r="C2" s="1"/>
      <c r="D2" s="1"/>
      <c r="E2" s="1"/>
      <c r="F2" s="1"/>
      <c r="G2" s="1"/>
      <c r="H2" s="1"/>
      <c r="I2" s="1"/>
      <c r="J2" s="1"/>
      <c r="K2" s="1"/>
      <c r="L2" s="3" t="s">
        <v>1</v>
      </c>
    </row>
    <row r="3" spans="1:12" ht="20" customHeight="1" x14ac:dyDescent="0.45">
      <c r="A3" s="1"/>
      <c r="B3" s="4" t="s">
        <v>106</v>
      </c>
      <c r="C3" s="1"/>
      <c r="D3" s="1"/>
      <c r="E3" s="1"/>
      <c r="F3" s="1"/>
      <c r="G3" s="1"/>
      <c r="H3" s="1"/>
      <c r="I3" s="1"/>
      <c r="J3" s="1"/>
      <c r="K3" s="1"/>
      <c r="L3" s="1"/>
    </row>
    <row r="4" spans="1:12" ht="20" customHeight="1" x14ac:dyDescent="0.45">
      <c r="A4" s="5"/>
      <c r="B4" s="22" t="s">
        <v>107</v>
      </c>
      <c r="C4" s="5"/>
      <c r="D4" s="5"/>
      <c r="E4" s="5"/>
      <c r="F4" s="5"/>
      <c r="G4" s="5"/>
      <c r="H4" s="5"/>
      <c r="I4" s="5"/>
      <c r="J4" s="5"/>
      <c r="K4" s="5"/>
      <c r="L4" s="6" t="s">
        <v>108</v>
      </c>
    </row>
    <row r="5" spans="1:12" ht="8" customHeight="1" x14ac:dyDescent="0.45"/>
    <row r="6" spans="1:12" ht="22.05" customHeight="1" x14ac:dyDescent="0.5">
      <c r="B6" s="7" t="s">
        <v>109</v>
      </c>
      <c r="C6" s="8"/>
      <c r="D6" s="8"/>
      <c r="E6" s="8"/>
      <c r="F6" s="8"/>
      <c r="G6" s="8"/>
      <c r="H6" s="8"/>
      <c r="I6" s="8"/>
      <c r="J6" s="8"/>
      <c r="K6" s="8"/>
      <c r="L6" s="8"/>
    </row>
    <row r="7" spans="1:12" ht="18" customHeight="1" x14ac:dyDescent="0.45">
      <c r="B7" s="13" t="s">
        <v>110</v>
      </c>
    </row>
    <row r="8" spans="1:12" ht="32" customHeight="1" x14ac:dyDescent="0.45">
      <c r="B8" s="30" t="s">
        <v>111</v>
      </c>
      <c r="C8" s="30" t="s">
        <v>112</v>
      </c>
      <c r="D8" s="31" t="s">
        <v>113</v>
      </c>
      <c r="E8" s="31" t="s">
        <v>114</v>
      </c>
      <c r="F8" s="31" t="s">
        <v>115</v>
      </c>
      <c r="G8" s="31" t="s">
        <v>116</v>
      </c>
      <c r="H8" s="31" t="s">
        <v>117</v>
      </c>
      <c r="I8" s="31" t="s">
        <v>118</v>
      </c>
      <c r="J8" s="31" t="s">
        <v>119</v>
      </c>
      <c r="K8" s="31" t="s">
        <v>120</v>
      </c>
      <c r="L8" s="30" t="s">
        <v>121</v>
      </c>
    </row>
    <row r="9" spans="1:12" x14ac:dyDescent="0.45">
      <c r="B9" s="32"/>
      <c r="C9" s="32"/>
      <c r="D9" s="32" t="s">
        <v>122</v>
      </c>
      <c r="E9" s="32" t="s">
        <v>103</v>
      </c>
      <c r="F9" s="32" t="s">
        <v>103</v>
      </c>
      <c r="G9" s="32" t="s">
        <v>123</v>
      </c>
      <c r="H9" s="32"/>
      <c r="I9" s="32"/>
      <c r="J9" s="32" t="s">
        <v>124</v>
      </c>
      <c r="K9" s="32" t="s">
        <v>103</v>
      </c>
      <c r="L9" s="32"/>
    </row>
    <row r="10" spans="1:12" x14ac:dyDescent="0.45">
      <c r="B10" s="33" t="s">
        <v>125</v>
      </c>
      <c r="C10" s="25" t="s">
        <v>126</v>
      </c>
      <c r="D10" s="34">
        <v>0.25</v>
      </c>
      <c r="E10" s="27">
        <v>400</v>
      </c>
      <c r="F10" s="35">
        <f t="shared" ref="F10:F19" si="0">D10*E10</f>
        <v>100</v>
      </c>
      <c r="G10" s="36">
        <f t="shared" ref="G10:G19" si="1">RANK(F10,$F$10:$F$19)</f>
        <v>1</v>
      </c>
      <c r="H10" s="37" t="str">
        <f t="shared" ref="H10:H19" si="2">IF(E10&gt;=Threshold,"yes","no")</f>
        <v>no</v>
      </c>
      <c r="I10" s="37" t="str">
        <f t="shared" ref="I10:I19" si="3">IF(SUM($E$10:$E$19)-E10&gt;=Threshold,"yes","no")</f>
        <v>yes</v>
      </c>
      <c r="J10" s="38" cm="1">
        <f t="array" aca="1" ref="J10" ca="1">_xll.VoseBernoulli(D10)</f>
        <v>0</v>
      </c>
      <c r="K10" s="39" cm="1">
        <f t="array" aca="1" ref="K10" ca="1">_xll.VoseInput("A  Key fixed-price project overruns","US$k")+J10*E10</f>
        <v>0</v>
      </c>
      <c r="L10" s="26" t="s">
        <v>127</v>
      </c>
    </row>
    <row r="11" spans="1:12" x14ac:dyDescent="0.45">
      <c r="B11" s="33" t="s">
        <v>128</v>
      </c>
      <c r="C11" s="25" t="s">
        <v>129</v>
      </c>
      <c r="D11" s="34">
        <v>0.3</v>
      </c>
      <c r="E11" s="27">
        <v>200</v>
      </c>
      <c r="F11" s="35">
        <f t="shared" si="0"/>
        <v>60</v>
      </c>
      <c r="G11" s="36">
        <f t="shared" si="1"/>
        <v>2</v>
      </c>
      <c r="H11" s="37" t="str">
        <f t="shared" si="2"/>
        <v>no</v>
      </c>
      <c r="I11" s="37" t="str">
        <f t="shared" si="3"/>
        <v>yes</v>
      </c>
      <c r="J11" s="38" cm="1">
        <f t="array" aca="1" ref="J11" ca="1">_xll.VoseBernoulli(D11)</f>
        <v>1</v>
      </c>
      <c r="K11" s="39" cm="1">
        <f t="array" aca="1" ref="K11" ca="1">_xll.VoseInput("B  Loss of a major customer","US$k")+J11*E11</f>
        <v>200</v>
      </c>
      <c r="L11" s="26" t="s">
        <v>130</v>
      </c>
    </row>
    <row r="12" spans="1:12" x14ac:dyDescent="0.45">
      <c r="B12" s="33" t="s">
        <v>131</v>
      </c>
      <c r="C12" s="25" t="s">
        <v>132</v>
      </c>
      <c r="D12" s="34">
        <v>0.1</v>
      </c>
      <c r="E12" s="27">
        <v>500</v>
      </c>
      <c r="F12" s="35">
        <f t="shared" si="0"/>
        <v>50</v>
      </c>
      <c r="G12" s="36">
        <f t="shared" si="1"/>
        <v>3</v>
      </c>
      <c r="H12" s="37" t="str">
        <f t="shared" si="2"/>
        <v>no</v>
      </c>
      <c r="I12" s="37" t="str">
        <f t="shared" si="3"/>
        <v>yes</v>
      </c>
      <c r="J12" s="38" cm="1">
        <f t="array" aca="1" ref="J12" ca="1">_xll.VoseBernoulli(D12)</f>
        <v>0</v>
      </c>
      <c r="K12" s="39" cm="1">
        <f t="array" aca="1" ref="K12" ca="1">_xll.VoseInput("C  Product liability claim","US$k")+J12*E12</f>
        <v>0</v>
      </c>
      <c r="L12" s="26" t="s">
        <v>133</v>
      </c>
    </row>
    <row r="13" spans="1:12" x14ac:dyDescent="0.45">
      <c r="B13" s="33" t="s">
        <v>134</v>
      </c>
      <c r="C13" s="25" t="s">
        <v>135</v>
      </c>
      <c r="D13" s="34">
        <v>0.05</v>
      </c>
      <c r="E13" s="27">
        <v>800</v>
      </c>
      <c r="F13" s="35">
        <f t="shared" si="0"/>
        <v>40</v>
      </c>
      <c r="G13" s="36">
        <f t="shared" si="1"/>
        <v>4</v>
      </c>
      <c r="H13" s="37" t="str">
        <f t="shared" si="2"/>
        <v>no</v>
      </c>
      <c r="I13" s="37" t="str">
        <f t="shared" si="3"/>
        <v>yes</v>
      </c>
      <c r="J13" s="38" cm="1">
        <f t="array" aca="1" ref="J13" ca="1">_xll.VoseBernoulli(D13)</f>
        <v>0</v>
      </c>
      <c r="K13" s="39" cm="1">
        <f t="array" aca="1" ref="K13" ca="1">_xll.VoseInput("D  Fire at the main workshop (uninsured part)","US$k")+J13*E13</f>
        <v>0</v>
      </c>
      <c r="L13" s="26" t="s">
        <v>136</v>
      </c>
    </row>
    <row r="14" spans="1:12" x14ac:dyDescent="0.45">
      <c r="B14" s="33" t="s">
        <v>137</v>
      </c>
      <c r="C14" s="25" t="s">
        <v>138</v>
      </c>
      <c r="D14" s="34">
        <v>0.1</v>
      </c>
      <c r="E14" s="27">
        <v>300</v>
      </c>
      <c r="F14" s="35">
        <f t="shared" si="0"/>
        <v>30</v>
      </c>
      <c r="G14" s="36">
        <f t="shared" si="1"/>
        <v>5</v>
      </c>
      <c r="H14" s="37" t="str">
        <f t="shared" si="2"/>
        <v>no</v>
      </c>
      <c r="I14" s="37" t="str">
        <f t="shared" si="3"/>
        <v>yes</v>
      </c>
      <c r="J14" s="38" cm="1">
        <f t="array" aca="1" ref="J14" ca="1">_xll.VoseBernoulli(D14)</f>
        <v>0</v>
      </c>
      <c r="K14" s="39" cm="1">
        <f t="array" aca="1" ref="K14" ca="1">_xll.VoseInput("E  IT failure with loss of data","US$k")+J14*E14</f>
        <v>0</v>
      </c>
      <c r="L14" s="28"/>
    </row>
    <row r="15" spans="1:12" x14ac:dyDescent="0.45">
      <c r="B15" s="33" t="s">
        <v>139</v>
      </c>
      <c r="C15" s="25" t="s">
        <v>140</v>
      </c>
      <c r="D15" s="34">
        <v>0.3</v>
      </c>
      <c r="E15" s="27">
        <v>90</v>
      </c>
      <c r="F15" s="35">
        <f t="shared" si="0"/>
        <v>27</v>
      </c>
      <c r="G15" s="36">
        <f t="shared" si="1"/>
        <v>6</v>
      </c>
      <c r="H15" s="37" t="str">
        <f t="shared" si="2"/>
        <v>no</v>
      </c>
      <c r="I15" s="37" t="str">
        <f t="shared" si="3"/>
        <v>yes</v>
      </c>
      <c r="J15" s="38" cm="1">
        <f t="array" aca="1" ref="J15" ca="1">_xll.VoseBernoulli(D15)</f>
        <v>1</v>
      </c>
      <c r="K15" s="39" cm="1">
        <f t="array" aca="1" ref="K15" ca="1">_xll.VoseInput("F  Late-delivery penalties","US$k")+J15*E15</f>
        <v>90</v>
      </c>
      <c r="L15" s="28"/>
    </row>
    <row r="16" spans="1:12" x14ac:dyDescent="0.45">
      <c r="B16" s="33" t="s">
        <v>141</v>
      </c>
      <c r="C16" s="25" t="s">
        <v>142</v>
      </c>
      <c r="D16" s="34">
        <v>0.2</v>
      </c>
      <c r="E16" s="27">
        <v>120</v>
      </c>
      <c r="F16" s="35">
        <f t="shared" si="0"/>
        <v>24</v>
      </c>
      <c r="G16" s="36">
        <f t="shared" si="1"/>
        <v>7</v>
      </c>
      <c r="H16" s="37" t="str">
        <f t="shared" si="2"/>
        <v>no</v>
      </c>
      <c r="I16" s="37" t="str">
        <f t="shared" si="3"/>
        <v>yes</v>
      </c>
      <c r="J16" s="38" cm="1">
        <f t="array" aca="1" ref="J16" ca="1">_xll.VoseBernoulli(D16)</f>
        <v>1</v>
      </c>
      <c r="K16" s="39" cm="1">
        <f t="array" aca="1" ref="K16" ca="1">_xll.VoseInput("G  Key engineers leave","US$k")+J16*E16</f>
        <v>120</v>
      </c>
      <c r="L16" s="28"/>
    </row>
    <row r="17" spans="2:12" x14ac:dyDescent="0.45">
      <c r="B17" s="33" t="s">
        <v>143</v>
      </c>
      <c r="C17" s="25" t="s">
        <v>144</v>
      </c>
      <c r="D17" s="34">
        <v>0.3</v>
      </c>
      <c r="E17" s="27">
        <v>60</v>
      </c>
      <c r="F17" s="35">
        <f t="shared" si="0"/>
        <v>18</v>
      </c>
      <c r="G17" s="36">
        <f t="shared" si="1"/>
        <v>8</v>
      </c>
      <c r="H17" s="37" t="str">
        <f t="shared" si="2"/>
        <v>no</v>
      </c>
      <c r="I17" s="37" t="str">
        <f t="shared" si="3"/>
        <v>yes</v>
      </c>
      <c r="J17" s="38" cm="1">
        <f t="array" aca="1" ref="J17" ca="1">_xll.VoseBernoulli(D17)</f>
        <v>0</v>
      </c>
      <c r="K17" s="39" cm="1">
        <f t="array" aca="1" ref="K17" ca="1">_xll.VoseInput("H  Exchange-rate loss on imported parts","US$k")+J17*E17</f>
        <v>0</v>
      </c>
      <c r="L17" s="28"/>
    </row>
    <row r="18" spans="2:12" x14ac:dyDescent="0.45">
      <c r="B18" s="33" t="s">
        <v>145</v>
      </c>
      <c r="C18" s="25" t="s">
        <v>146</v>
      </c>
      <c r="D18" s="34">
        <v>0.01</v>
      </c>
      <c r="E18" s="27">
        <v>1000</v>
      </c>
      <c r="F18" s="35">
        <f t="shared" si="0"/>
        <v>10</v>
      </c>
      <c r="G18" s="36">
        <f t="shared" si="1"/>
        <v>9</v>
      </c>
      <c r="H18" s="37" t="str">
        <f t="shared" si="2"/>
        <v>no</v>
      </c>
      <c r="I18" s="37" t="str">
        <f t="shared" si="3"/>
        <v>yes</v>
      </c>
      <c r="J18" s="38" cm="1">
        <f t="array" aca="1" ref="J18" ca="1">_xll.VoseBernoulli(D18)</f>
        <v>0</v>
      </c>
      <c r="K18" s="39" cm="1">
        <f t="array" aca="1" ref="K18" ca="1">_xll.VoseInput("I  Fraud by an employee","US$k")+J18*E18</f>
        <v>0</v>
      </c>
      <c r="L18" s="28"/>
    </row>
    <row r="19" spans="2:12" x14ac:dyDescent="0.45">
      <c r="B19" s="33" t="s">
        <v>147</v>
      </c>
      <c r="C19" s="25" t="s">
        <v>148</v>
      </c>
      <c r="D19" s="34">
        <v>1E-3</v>
      </c>
      <c r="E19" s="27">
        <v>8000</v>
      </c>
      <c r="F19" s="35">
        <f t="shared" si="0"/>
        <v>8</v>
      </c>
      <c r="G19" s="36">
        <f t="shared" si="1"/>
        <v>10</v>
      </c>
      <c r="H19" s="37" t="str">
        <f t="shared" si="2"/>
        <v>yes</v>
      </c>
      <c r="I19" s="37" t="str">
        <f t="shared" si="3"/>
        <v>no</v>
      </c>
      <c r="J19" s="38" cm="1">
        <f t="array" aca="1" ref="J19" ca="1">_xll.VoseBernoulli(D19)</f>
        <v>0</v>
      </c>
      <c r="K19" s="39" cm="1">
        <f t="array" aca="1" ref="K19" ca="1">_xll.VoseInput("J  Fatal accident caused by a delivered machine","US$k")+J19*E19</f>
        <v>0</v>
      </c>
      <c r="L19" s="28"/>
    </row>
    <row r="20" spans="2:12" x14ac:dyDescent="0.45">
      <c r="B20" s="40"/>
      <c r="C20" s="41" t="s">
        <v>149</v>
      </c>
      <c r="D20" s="40"/>
      <c r="E20" s="40"/>
      <c r="F20" s="42">
        <f>SUM(F10:F19)</f>
        <v>367</v>
      </c>
      <c r="G20" s="40"/>
      <c r="H20" s="40"/>
      <c r="I20" s="40"/>
      <c r="J20" s="43">
        <f ca="1">SUM(J10:J19)</f>
        <v>3</v>
      </c>
      <c r="K20" s="42">
        <f ca="1">SUM(K10:K19)</f>
        <v>410</v>
      </c>
      <c r="L20" s="44" t="s">
        <v>150</v>
      </c>
    </row>
    <row r="21" spans="2:12" ht="8" customHeight="1" x14ac:dyDescent="0.45"/>
    <row r="22" spans="2:12" ht="22.05" customHeight="1" x14ac:dyDescent="0.5">
      <c r="B22" s="7" t="s">
        <v>151</v>
      </c>
      <c r="C22" s="8"/>
      <c r="D22" s="8"/>
      <c r="E22" s="8"/>
      <c r="F22" s="8"/>
      <c r="G22" s="8"/>
      <c r="H22" s="8"/>
      <c r="I22" s="8"/>
      <c r="J22" s="8"/>
      <c r="K22" s="8"/>
      <c r="L22" s="8"/>
    </row>
    <row r="23" spans="2:12" ht="18" customHeight="1" x14ac:dyDescent="0.45">
      <c r="B23" s="13" t="s">
        <v>152</v>
      </c>
    </row>
    <row r="24" spans="2:12" ht="18" customHeight="1" x14ac:dyDescent="0.45">
      <c r="B24" s="5"/>
      <c r="C24" s="45" t="s">
        <v>153</v>
      </c>
      <c r="D24" s="45" t="s">
        <v>98</v>
      </c>
      <c r="E24" s="46" t="s">
        <v>154</v>
      </c>
      <c r="F24" s="5"/>
      <c r="G24" s="5"/>
      <c r="H24" s="5"/>
      <c r="I24" s="5"/>
      <c r="J24" s="5"/>
      <c r="K24" s="5"/>
      <c r="L24" s="45" t="s">
        <v>155</v>
      </c>
    </row>
    <row r="25" spans="2:12" x14ac:dyDescent="0.45">
      <c r="B25" s="28"/>
      <c r="C25" s="25" t="s">
        <v>156</v>
      </c>
      <c r="D25" s="26" t="s">
        <v>103</v>
      </c>
      <c r="E25" s="47" cm="1">
        <f t="array" aca="1" ref="E25" ca="1">_xll.VoseOutput("Total loss","US$k")+K20</f>
        <v>410</v>
      </c>
      <c r="F25" s="28"/>
      <c r="G25" s="28"/>
      <c r="H25" s="28"/>
      <c r="I25" s="28"/>
      <c r="J25" s="28"/>
      <c r="K25" s="28"/>
      <c r="L25" s="26" t="s">
        <v>157</v>
      </c>
    </row>
    <row r="26" spans="2:12" x14ac:dyDescent="0.45">
      <c r="B26" s="28"/>
      <c r="C26" s="25" t="s">
        <v>158</v>
      </c>
      <c r="D26" s="26" t="s">
        <v>159</v>
      </c>
      <c r="E26" s="36">
        <f ca="1">IF(Loss&gt;=Threshold,1,0)</f>
        <v>0</v>
      </c>
      <c r="F26" s="28"/>
      <c r="G26" s="28"/>
      <c r="H26" s="28"/>
      <c r="I26" s="28"/>
      <c r="J26" s="28"/>
      <c r="K26" s="28"/>
      <c r="L26" s="26" t="s">
        <v>160</v>
      </c>
    </row>
    <row r="27" spans="2:12" ht="8" customHeight="1" x14ac:dyDescent="0.45"/>
    <row r="28" spans="2:12" ht="22.05" customHeight="1" x14ac:dyDescent="0.5">
      <c r="B28" s="7" t="s">
        <v>161</v>
      </c>
      <c r="C28" s="8"/>
      <c r="D28" s="8"/>
      <c r="E28" s="8"/>
      <c r="F28" s="8"/>
      <c r="G28" s="8"/>
      <c r="H28" s="8"/>
      <c r="I28" s="8"/>
      <c r="J28" s="8"/>
      <c r="K28" s="8"/>
      <c r="L28" s="8"/>
    </row>
    <row r="29" spans="2:12" ht="18" customHeight="1" x14ac:dyDescent="0.45">
      <c r="B29" s="13" t="s">
        <v>162</v>
      </c>
    </row>
    <row r="30" spans="2:12" ht="18" customHeight="1" x14ac:dyDescent="0.45">
      <c r="B30" s="5"/>
      <c r="C30" s="45" t="s">
        <v>153</v>
      </c>
      <c r="D30" s="45" t="s">
        <v>98</v>
      </c>
      <c r="E30" s="46" t="s">
        <v>154</v>
      </c>
      <c r="F30" s="5"/>
      <c r="G30" s="5"/>
      <c r="H30" s="5"/>
      <c r="I30" s="5"/>
      <c r="J30" s="5"/>
      <c r="K30" s="5"/>
      <c r="L30" s="45" t="s">
        <v>155</v>
      </c>
    </row>
    <row r="31" spans="2:12" x14ac:dyDescent="0.45">
      <c r="B31" s="28"/>
      <c r="C31" s="25" t="s">
        <v>163</v>
      </c>
      <c r="D31" s="26" t="s">
        <v>103</v>
      </c>
      <c r="E31" s="35">
        <f>F20</f>
        <v>367</v>
      </c>
      <c r="F31" s="28"/>
      <c r="G31" s="28"/>
      <c r="H31" s="28"/>
      <c r="I31" s="28"/>
      <c r="J31" s="28"/>
      <c r="K31" s="28"/>
      <c r="L31" s="26" t="s">
        <v>164</v>
      </c>
    </row>
    <row r="32" spans="2:12" x14ac:dyDescent="0.45">
      <c r="B32" s="28"/>
      <c r="C32" s="25" t="s">
        <v>165</v>
      </c>
      <c r="D32" s="26" t="s">
        <v>103</v>
      </c>
      <c r="E32" s="35">
        <f>SUM(Impact)</f>
        <v>11470</v>
      </c>
      <c r="F32" s="28"/>
      <c r="G32" s="28"/>
      <c r="H32" s="28"/>
      <c r="I32" s="28"/>
      <c r="J32" s="28"/>
      <c r="K32" s="28"/>
      <c r="L32" s="26"/>
    </row>
    <row r="33" spans="2:12" x14ac:dyDescent="0.45">
      <c r="B33" s="28"/>
      <c r="C33" s="25" t="s">
        <v>166</v>
      </c>
      <c r="D33" s="26" t="s">
        <v>167</v>
      </c>
      <c r="E33" s="48">
        <f>SUMPRODUCT(EXP(MMULT(MOD(INT((_xlfn.SEQUENCE(2^ROWS(Prob))-1)/2^(_xlfn.SEQUENCE(1,ROWS(Prob))-1)),2),LN(Prob))+MMULT(1-MOD(INT((_xlfn.SEQUENCE(2^ROWS(Prob))-1)/2^(_xlfn.SEQUENCE(1,ROWS(Prob))-1)),2),LN(1-Prob)))*(MMULT(MOD(INT((_xlfn.SEQUENCE(2^ROWS(Prob))-1)/2^(_xlfn.SEQUENCE(1,ROWS(Prob))-1)),2),Impact)&gt;=Threshold))</f>
        <v>9.9999999999999742E-4</v>
      </c>
      <c r="F33" s="28"/>
      <c r="G33" s="28"/>
      <c r="H33" s="28"/>
      <c r="I33" s="28"/>
      <c r="J33" s="28"/>
      <c r="K33" s="28"/>
      <c r="L33" s="26" t="s">
        <v>168</v>
      </c>
    </row>
    <row r="34" spans="2:12" x14ac:dyDescent="0.45">
      <c r="B34" s="28"/>
      <c r="C34" s="25" t="s">
        <v>169</v>
      </c>
      <c r="D34" s="26"/>
      <c r="E34" s="37" t="str" cm="1">
        <f t="array" ref="E34">IF(COUNTIF(Needed,"no")=0,"none",_xlfn.TEXTJOIN(", ",TRUE,IF(Needed="no",RiskID,"")))</f>
        <v>J</v>
      </c>
      <c r="F34" s="28"/>
      <c r="G34" s="28"/>
      <c r="H34" s="28"/>
      <c r="I34" s="28"/>
      <c r="J34" s="28"/>
      <c r="K34" s="28"/>
      <c r="L34" s="26" t="s">
        <v>170</v>
      </c>
    </row>
    <row r="35" spans="2:12" ht="8" customHeight="1" x14ac:dyDescent="0.45"/>
    <row r="36" spans="2:12" ht="22.05" customHeight="1" x14ac:dyDescent="0.5">
      <c r="B36" s="7" t="s">
        <v>171</v>
      </c>
      <c r="C36" s="8"/>
      <c r="D36" s="8"/>
      <c r="E36" s="8"/>
      <c r="F36" s="8"/>
      <c r="G36" s="8"/>
      <c r="H36" s="8"/>
      <c r="I36" s="8"/>
      <c r="J36" s="8"/>
      <c r="K36" s="8"/>
      <c r="L36" s="8"/>
    </row>
    <row r="37" spans="2:12" ht="18" customHeight="1" x14ac:dyDescent="0.45">
      <c r="B37" s="13" t="s">
        <v>172</v>
      </c>
    </row>
    <row r="38" spans="2:12" x14ac:dyDescent="0.45">
      <c r="B38" s="28"/>
      <c r="C38" s="25" t="s">
        <v>173</v>
      </c>
      <c r="D38" s="28"/>
      <c r="E38" s="49" t="str">
        <f>IF(AND(MIN(Prob)&gt;0,MAX(Prob)&lt;1),"OK","CHECK")</f>
        <v>OK</v>
      </c>
      <c r="F38" s="28"/>
      <c r="G38" s="28"/>
      <c r="H38" s="28"/>
      <c r="I38" s="28"/>
      <c r="J38" s="28"/>
      <c r="K38" s="28"/>
      <c r="L38" s="28"/>
    </row>
    <row r="39" spans="2:12" x14ac:dyDescent="0.45">
      <c r="B39" s="28"/>
      <c r="C39" s="25" t="s">
        <v>174</v>
      </c>
      <c r="D39" s="28"/>
      <c r="E39" s="49" t="str">
        <f>IF(MIN(Impact)&gt;=0,"OK","CHECK")</f>
        <v>OK</v>
      </c>
      <c r="F39" s="28"/>
      <c r="G39" s="28"/>
      <c r="H39" s="28"/>
      <c r="I39" s="28"/>
      <c r="J39" s="28"/>
      <c r="K39" s="28"/>
      <c r="L39" s="28"/>
    </row>
    <row r="40" spans="2:12" ht="14" customHeight="1" x14ac:dyDescent="0.45"/>
  </sheetData>
  <conditionalFormatting sqref="E38:E39">
    <cfRule type="expression" dxfId="6" priority="3">
      <formula>E38="CHECK"</formula>
    </cfRule>
  </conditionalFormatting>
  <conditionalFormatting sqref="H10:H19">
    <cfRule type="expression" dxfId="5" priority="1">
      <formula>H10="yes"</formula>
    </cfRule>
  </conditionalFormatting>
  <conditionalFormatting sqref="I10:I19">
    <cfRule type="expression" dxfId="4" priority="2">
      <formula>I10="no"</formula>
    </cfRule>
  </conditionalFormatting>
  <dataValidations count="2">
    <dataValidation type="decimal" showErrorMessage="1" errorTitle="Probability" error="Enter a value above 0% and below 100%." sqref="D10:D19" xr:uid="{00000000-0002-0000-0200-000000000000}">
      <formula1>0</formula1>
      <formula2>1</formula2>
    </dataValidation>
    <dataValidation type="decimal" operator="greaterThan" showErrorMessage="1" errorTitle="Cost" error="Enter a cost of 0 or more." sqref="E10:E19" xr:uid="{00000000-0002-0000-0200-000001000000}">
      <formula1>0</formula1>
    </dataValidation>
  </dataValidations>
  <hyperlinks>
    <hyperlink ref="B4" location="'Inputs'!A1" display="◂  Inputs" xr:uid="{00000000-0004-0000-0200-000000000000}"/>
    <hyperlink ref="L4" location="'Results'!A1" display="Next:  Results  ▸" xr:uid="{00000000-0004-0000-0200-000001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7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175</v>
      </c>
      <c r="C3" s="1"/>
      <c r="D3" s="1"/>
      <c r="E3" s="1"/>
      <c r="F3" s="1"/>
      <c r="G3" s="1"/>
      <c r="H3" s="1"/>
      <c r="I3" s="1"/>
      <c r="J3" s="1"/>
      <c r="K3" s="1"/>
      <c r="L3" s="1"/>
      <c r="M3" s="1"/>
      <c r="N3" s="1"/>
      <c r="O3" s="1"/>
      <c r="P3" s="1"/>
      <c r="Q3" s="1"/>
      <c r="R3" s="1"/>
    </row>
    <row r="4" spans="1:18" ht="20" customHeight="1" x14ac:dyDescent="0.45">
      <c r="A4" s="5"/>
      <c r="B4" s="22" t="s">
        <v>176</v>
      </c>
      <c r="C4" s="5"/>
      <c r="D4" s="5"/>
      <c r="E4" s="5"/>
      <c r="F4" s="5"/>
      <c r="G4" s="5"/>
      <c r="H4" s="5"/>
      <c r="I4" s="5"/>
      <c r="J4" s="5"/>
      <c r="K4" s="5"/>
      <c r="L4" s="5"/>
      <c r="M4" s="5"/>
      <c r="N4" s="5"/>
      <c r="O4" s="5"/>
      <c r="P4" s="5"/>
      <c r="Q4" s="5"/>
      <c r="R4" s="5"/>
    </row>
    <row r="5" spans="1:18" ht="8" customHeight="1" x14ac:dyDescent="0.45"/>
    <row r="6" spans="1:18" ht="26" customHeight="1" x14ac:dyDescent="0.45">
      <c r="B6" s="50" t="str" cm="1">
        <f t="array" aca="1" ref="B6" ca="1">IF(ISNUMBER(_xll.VoseSimMean(Loss)),"✔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1"/>
      <c r="D6" s="51"/>
      <c r="E6" s="51"/>
      <c r="F6" s="51"/>
      <c r="G6" s="51"/>
    </row>
    <row r="7" spans="1:18" x14ac:dyDescent="0.45">
      <c r="B7" s="5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177</v>
      </c>
      <c r="C9" s="8"/>
      <c r="D9" s="8"/>
      <c r="E9" s="8"/>
      <c r="F9" s="8"/>
      <c r="G9" s="8"/>
      <c r="I9" s="53" t="s">
        <v>178</v>
      </c>
      <c r="J9" s="8"/>
      <c r="K9" s="8"/>
      <c r="L9" s="8"/>
      <c r="M9" s="8"/>
      <c r="N9" s="8"/>
      <c r="O9" s="8"/>
      <c r="P9" s="8"/>
      <c r="Q9" s="8"/>
      <c r="R9" s="8"/>
    </row>
    <row r="10" spans="1:18" ht="18" customHeight="1" x14ac:dyDescent="0.45">
      <c r="B10" s="13" t="s">
        <v>179</v>
      </c>
    </row>
    <row r="11" spans="1:18" ht="18" customHeight="1" x14ac:dyDescent="0.45">
      <c r="B11" s="23" t="s">
        <v>180</v>
      </c>
      <c r="C11" s="23" t="s">
        <v>98</v>
      </c>
      <c r="D11" s="24" t="s">
        <v>154</v>
      </c>
      <c r="E11" s="5"/>
      <c r="F11" s="5"/>
      <c r="G11" s="5"/>
    </row>
    <row r="12" spans="1:18" x14ac:dyDescent="0.45">
      <c r="B12" s="54" t="s">
        <v>166</v>
      </c>
      <c r="C12" s="26" t="s">
        <v>167</v>
      </c>
      <c r="D12" s="48">
        <f>RuinExact</f>
        <v>9.9999999999999742E-4</v>
      </c>
      <c r="E12" s="28"/>
      <c r="F12" s="28"/>
      <c r="G12" s="28"/>
    </row>
    <row r="13" spans="1:18" ht="22.05" customHeight="1" x14ac:dyDescent="0.45">
      <c r="B13" s="33" t="s">
        <v>181</v>
      </c>
      <c r="C13" s="26" t="s">
        <v>167</v>
      </c>
      <c r="D13" s="55" cm="1">
        <f t="array" aca="1" ref="D13" ca="1">_xll.VoseSimMean(Ruin)</f>
        <v>1.4E-3</v>
      </c>
      <c r="E13" s="28"/>
      <c r="F13" s="28"/>
      <c r="G13" s="28"/>
    </row>
    <row r="14" spans="1:18" x14ac:dyDescent="0.45">
      <c r="B14" s="56" t="s">
        <v>182</v>
      </c>
      <c r="C14" s="26" t="s">
        <v>103</v>
      </c>
      <c r="D14" s="35">
        <f>Threshold</f>
        <v>5000</v>
      </c>
      <c r="E14" s="28"/>
      <c r="F14" s="28"/>
      <c r="G14" s="28"/>
    </row>
    <row r="15" spans="1:18" x14ac:dyDescent="0.45">
      <c r="B15" s="56" t="s">
        <v>169</v>
      </c>
      <c r="C15" s="26"/>
      <c r="D15" s="37" t="str">
        <f>NeededList</f>
        <v>J</v>
      </c>
      <c r="E15" s="28"/>
      <c r="F15" s="28"/>
      <c r="G15" s="28"/>
    </row>
    <row r="16" spans="1:18" x14ac:dyDescent="0.45">
      <c r="B16" s="56" t="s">
        <v>183</v>
      </c>
      <c r="C16" s="26" t="s">
        <v>103</v>
      </c>
      <c r="D16" s="35">
        <f>ExpLoss</f>
        <v>367</v>
      </c>
      <c r="E16" s="28"/>
      <c r="F16" s="28"/>
      <c r="G16" s="28"/>
    </row>
    <row r="17" spans="2:18" x14ac:dyDescent="0.45">
      <c r="B17" s="25" t="s">
        <v>184</v>
      </c>
      <c r="C17" s="26" t="s">
        <v>103</v>
      </c>
      <c r="D17" s="57" cm="1">
        <f t="array" aca="1" ref="D17" ca="1">_xll.VoseSimMean(Loss)</f>
        <v>365.00099999999998</v>
      </c>
      <c r="E17" s="28"/>
      <c r="F17" s="28"/>
      <c r="G17" s="28"/>
    </row>
    <row r="18" spans="2:18" ht="8" customHeight="1" x14ac:dyDescent="0.45"/>
    <row r="19" spans="2:18" ht="22.05" customHeight="1" x14ac:dyDescent="0.5">
      <c r="B19" s="7" t="s">
        <v>185</v>
      </c>
      <c r="C19" s="8"/>
      <c r="D19" s="8"/>
      <c r="E19" s="8"/>
      <c r="F19" s="8"/>
      <c r="G19" s="8"/>
    </row>
    <row r="20" spans="2:18" ht="18" customHeight="1" x14ac:dyDescent="0.45">
      <c r="B20" s="13" t="s">
        <v>186</v>
      </c>
    </row>
    <row r="21" spans="2:18" ht="18" customHeight="1" x14ac:dyDescent="0.45">
      <c r="B21" s="23" t="s">
        <v>187</v>
      </c>
      <c r="C21" s="23" t="s">
        <v>98</v>
      </c>
      <c r="D21" s="24" t="s">
        <v>113</v>
      </c>
      <c r="E21" s="24" t="s">
        <v>188</v>
      </c>
      <c r="F21" s="5"/>
      <c r="G21" s="5"/>
    </row>
    <row r="22" spans="2:18" x14ac:dyDescent="0.45">
      <c r="B22" s="25" t="s">
        <v>189</v>
      </c>
      <c r="C22" s="26" t="s">
        <v>103</v>
      </c>
      <c r="D22" s="48">
        <f>SUMPRODUCT(EXP(MMULT(MOD(INT((_xlfn.SEQUENCE(2^ROWS(Prob))-1)/2^(_xlfn.SEQUENCE(1,ROWS(Prob))-1)),2),LN(Prob))+MMULT(1-MOD(INT((_xlfn.SEQUENCE(2^ROWS(Prob))-1)/2^(_xlfn.SEQUENCE(1,ROWS(Prob))-1)),2),LN(1-Prob)))*(MMULT(MOD(INT((_xlfn.SEQUENCE(2^ROWS(Prob))-1)/2^(_xlfn.SEQUENCE(1,ROWS(Prob))-1)),2),Impact)&gt;=1000))</f>
        <v>5.7524404015000072E-2</v>
      </c>
      <c r="E22" s="58">
        <f>IFERROR(1/D22,"never")</f>
        <v>17.383926302639136</v>
      </c>
      <c r="F22" s="28"/>
      <c r="G22" s="28"/>
    </row>
    <row r="23" spans="2:18" x14ac:dyDescent="0.45">
      <c r="B23" s="25" t="s">
        <v>190</v>
      </c>
      <c r="C23" s="26" t="s">
        <v>103</v>
      </c>
      <c r="D23" s="48">
        <f>SUMPRODUCT(EXP(MMULT(MOD(INT((_xlfn.SEQUENCE(2^ROWS(Prob))-1)/2^(_xlfn.SEQUENCE(1,ROWS(Prob))-1)),2),LN(Prob))+MMULT(1-MOD(INT((_xlfn.SEQUENCE(2^ROWS(Prob))-1)/2^(_xlfn.SEQUENCE(1,ROWS(Prob))-1)),2),LN(1-Prob)))*(MMULT(MOD(INT((_xlfn.SEQUENCE(2^ROWS(Prob))-1)/2^(_xlfn.SEQUENCE(1,ROWS(Prob))-1)),2),Impact)&gt;=2000))</f>
        <v>1.6911376704999976E-3</v>
      </c>
      <c r="E23" s="58">
        <f>IFERROR(1/D23,"never")</f>
        <v>591.31791423246011</v>
      </c>
      <c r="F23" s="28"/>
      <c r="G23" s="28"/>
    </row>
    <row r="24" spans="2:18" x14ac:dyDescent="0.45">
      <c r="B24" s="25" t="s">
        <v>191</v>
      </c>
      <c r="C24" s="26" t="s">
        <v>103</v>
      </c>
      <c r="D24" s="48">
        <f>SUMPRODUCT(EXP(MMULT(MOD(INT((_xlfn.SEQUENCE(2^ROWS(Prob))-1)/2^(_xlfn.SEQUENCE(1,ROWS(Prob))-1)),2),LN(Prob))+MMULT(1-MOD(INT((_xlfn.SEQUENCE(2^ROWS(Prob))-1)/2^(_xlfn.SEQUENCE(1,ROWS(Prob))-1)),2),LN(1-Prob)))*(MMULT(MOD(INT((_xlfn.SEQUENCE(2^ROWS(Prob))-1)/2^(_xlfn.SEQUENCE(1,ROWS(Prob))-1)),2),Impact)&gt;=3000))</f>
        <v>1.0022332644999974E-3</v>
      </c>
      <c r="E24" s="58">
        <f>IFERROR(1/D24,"never")</f>
        <v>997.77171185680857</v>
      </c>
      <c r="F24" s="28"/>
      <c r="G24" s="28"/>
    </row>
    <row r="25" spans="2:18" x14ac:dyDescent="0.45">
      <c r="B25" s="25" t="s">
        <v>192</v>
      </c>
      <c r="C25" s="26" t="s">
        <v>103</v>
      </c>
      <c r="D25" s="48">
        <f>SUMPRODUCT(EXP(MMULT(MOD(INT((_xlfn.SEQUENCE(2^ROWS(Prob))-1)/2^(_xlfn.SEQUENCE(1,ROWS(Prob))-1)),2),LN(Prob))+MMULT(1-MOD(INT((_xlfn.SEQUENCE(2^ROWS(Prob))-1)/2^(_xlfn.SEQUENCE(1,ROWS(Prob))-1)),2),LN(1-Prob)))*(MMULT(MOD(INT((_xlfn.SEQUENCE(2^ROWS(Prob))-1)/2^(_xlfn.SEQUENCE(1,ROWS(Prob))-1)),2),Impact)&gt;=4000))</f>
        <v>9.9999999999999742E-4</v>
      </c>
      <c r="E25" s="58">
        <f>IFERROR(1/D25,"never")</f>
        <v>1000.0000000000026</v>
      </c>
      <c r="F25" s="28"/>
      <c r="G25" s="28"/>
    </row>
    <row r="26" spans="2:18" x14ac:dyDescent="0.45">
      <c r="B26" s="25" t="s">
        <v>193</v>
      </c>
      <c r="C26" s="26" t="s">
        <v>103</v>
      </c>
      <c r="D26" s="48">
        <f>SUMPRODUCT(EXP(MMULT(MOD(INT((_xlfn.SEQUENCE(2^ROWS(Prob))-1)/2^(_xlfn.SEQUENCE(1,ROWS(Prob))-1)),2),LN(Prob))+MMULT(1-MOD(INT((_xlfn.SEQUENCE(2^ROWS(Prob))-1)/2^(_xlfn.SEQUENCE(1,ROWS(Prob))-1)),2),LN(1-Prob)))*(MMULT(MOD(INT((_xlfn.SEQUENCE(2^ROWS(Prob))-1)/2^(_xlfn.SEQUENCE(1,ROWS(Prob))-1)),2),Impact)&gt;=5000))</f>
        <v>9.9999999999999742E-4</v>
      </c>
      <c r="E26" s="58">
        <f>IFERROR(1/D26,"never")</f>
        <v>1000.0000000000026</v>
      </c>
      <c r="F26" s="28"/>
      <c r="G26" s="28"/>
    </row>
    <row r="27" spans="2:18" ht="22.05" customHeight="1" x14ac:dyDescent="0.5">
      <c r="B27" s="7" t="s">
        <v>194</v>
      </c>
      <c r="C27" s="8"/>
      <c r="D27" s="8"/>
      <c r="E27" s="8"/>
      <c r="F27" s="8"/>
      <c r="G27" s="8"/>
      <c r="I27" s="53" t="s">
        <v>195</v>
      </c>
      <c r="J27" s="8"/>
      <c r="K27" s="8"/>
      <c r="L27" s="8"/>
      <c r="M27" s="8"/>
      <c r="N27" s="8"/>
      <c r="O27" s="8"/>
      <c r="P27" s="8"/>
      <c r="Q27" s="8"/>
      <c r="R27" s="8"/>
    </row>
    <row r="28" spans="2:18" ht="18" customHeight="1" x14ac:dyDescent="0.45">
      <c r="B28" s="13" t="s">
        <v>196</v>
      </c>
    </row>
    <row r="29" spans="2:18" ht="18" customHeight="1" x14ac:dyDescent="0.45">
      <c r="B29" s="23" t="s">
        <v>197</v>
      </c>
      <c r="C29" s="24" t="s">
        <v>198</v>
      </c>
      <c r="D29" s="24" t="s">
        <v>199</v>
      </c>
      <c r="E29" s="59" t="s">
        <v>116</v>
      </c>
      <c r="F29" s="5"/>
      <c r="G29" s="5"/>
    </row>
    <row r="30" spans="2:18" x14ac:dyDescent="0.45">
      <c r="B30" s="25" t="str">
        <f t="array" aca="1" ref="B30:E39" ca="1">_xll.VoseSimSensitivityMean(Loss,10,1,FALSE)</f>
        <v>J  Fatal accident caused by a delivered machine</v>
      </c>
      <c r="C30" s="57">
        <f ca="1"/>
        <v>353.77929100741039</v>
      </c>
      <c r="D30" s="57">
        <f ca="1"/>
        <v>8369.2857142857138</v>
      </c>
      <c r="E30" s="60">
        <f ca="1"/>
        <v>1</v>
      </c>
      <c r="F30" s="28"/>
      <c r="G30" s="28"/>
    </row>
    <row r="31" spans="2:18" x14ac:dyDescent="0.45">
      <c r="B31" s="25" t="str">
        <f ca="1"/>
        <v>I  Fraud by an employee</v>
      </c>
      <c r="C31" s="57">
        <f ca="1"/>
        <v>355.9366168752523</v>
      </c>
      <c r="D31" s="57">
        <f ca="1"/>
        <v>1341.195652173913</v>
      </c>
      <c r="E31" s="60">
        <f ca="1"/>
        <v>2</v>
      </c>
      <c r="F31" s="28"/>
      <c r="G31" s="28"/>
    </row>
    <row r="32" spans="2:18" x14ac:dyDescent="0.45">
      <c r="B32" s="25" t="str">
        <f ca="1"/>
        <v>D  Fire at the main workshop (uninsured part)</v>
      </c>
      <c r="C32" s="57">
        <f ca="1"/>
        <v>325.80743385132297</v>
      </c>
      <c r="D32" s="57">
        <f ca="1"/>
        <v>1149.2016806722688</v>
      </c>
      <c r="E32" s="60">
        <f ca="1"/>
        <v>3</v>
      </c>
      <c r="F32" s="28"/>
      <c r="G32" s="28"/>
    </row>
    <row r="33" spans="2:7" x14ac:dyDescent="0.45">
      <c r="B33" s="25" t="str">
        <f ca="1"/>
        <v>C  Product liability claim</v>
      </c>
      <c r="C33" s="57">
        <f ca="1"/>
        <v>315.91322680869951</v>
      </c>
      <c r="D33" s="57">
        <f ca="1"/>
        <v>812.75303643724692</v>
      </c>
      <c r="E33" s="60">
        <f ca="1"/>
        <v>4</v>
      </c>
      <c r="F33" s="28"/>
      <c r="G33" s="28"/>
    </row>
    <row r="34" spans="2:7" x14ac:dyDescent="0.45">
      <c r="B34" s="25" t="str">
        <f ca="1"/>
        <v>A  Key fixed-price project overruns</v>
      </c>
      <c r="C34" s="57">
        <f ca="1"/>
        <v>266.64844687375017</v>
      </c>
      <c r="D34" s="57">
        <f ca="1"/>
        <v>660.21608643457387</v>
      </c>
      <c r="E34" s="60">
        <f ca="1"/>
        <v>5</v>
      </c>
      <c r="F34" s="28"/>
      <c r="G34" s="28"/>
    </row>
    <row r="35" spans="2:7" x14ac:dyDescent="0.45">
      <c r="B35" s="25" t="str">
        <f ca="1"/>
        <v>E  IT failure with loss of data</v>
      </c>
      <c r="C35" s="57">
        <f ca="1"/>
        <v>335.87354409317805</v>
      </c>
      <c r="D35" s="57">
        <f ca="1"/>
        <v>631.58375634517768</v>
      </c>
      <c r="E35" s="60">
        <f ca="1"/>
        <v>6</v>
      </c>
      <c r="F35" s="28"/>
      <c r="G35" s="28"/>
    </row>
    <row r="36" spans="2:7" x14ac:dyDescent="0.45">
      <c r="B36" s="25" t="str">
        <f ca="1"/>
        <v>B  Loss of a major customer</v>
      </c>
      <c r="C36" s="57">
        <f ca="1"/>
        <v>307.07414259285611</v>
      </c>
      <c r="D36" s="57">
        <f ca="1"/>
        <v>501.91725529767911</v>
      </c>
      <c r="E36" s="60">
        <f ca="1"/>
        <v>7</v>
      </c>
      <c r="F36" s="28"/>
      <c r="G36" s="28"/>
    </row>
    <row r="37" spans="2:7" x14ac:dyDescent="0.45">
      <c r="B37" s="25" t="str">
        <f ca="1"/>
        <v>G  Key engineers leave</v>
      </c>
      <c r="C37" s="57">
        <f ca="1"/>
        <v>341.38999502239921</v>
      </c>
      <c r="D37" s="57">
        <f ca="1"/>
        <v>461.60896130346231</v>
      </c>
      <c r="E37" s="60">
        <f ca="1"/>
        <v>8</v>
      </c>
      <c r="F37" s="28"/>
      <c r="G37" s="28"/>
    </row>
    <row r="38" spans="2:7" x14ac:dyDescent="0.45">
      <c r="B38" s="25" t="str">
        <f ca="1"/>
        <v>F  Late-delivery penalties</v>
      </c>
      <c r="C38" s="57">
        <f ca="1"/>
        <v>334.7371420430261</v>
      </c>
      <c r="D38" s="57">
        <f ca="1"/>
        <v>436.25964441462594</v>
      </c>
      <c r="E38" s="60">
        <f ca="1"/>
        <v>9</v>
      </c>
      <c r="F38" s="28"/>
      <c r="G38" s="28"/>
    </row>
    <row r="39" spans="2:7" x14ac:dyDescent="0.45">
      <c r="B39" s="25" t="str">
        <f ca="1"/>
        <v>H  Exchange-rate loss on imported parts</v>
      </c>
      <c r="C39" s="57">
        <f ca="1"/>
        <v>346.45646925152676</v>
      </c>
      <c r="D39" s="57">
        <f ca="1"/>
        <v>409.12808381209868</v>
      </c>
      <c r="E39" s="60">
        <f ca="1"/>
        <v>10</v>
      </c>
      <c r="F39" s="28"/>
      <c r="G39" s="28"/>
    </row>
    <row r="42" spans="2:7" ht="22.05" customHeight="1" x14ac:dyDescent="0.5">
      <c r="B42" s="7" t="s">
        <v>200</v>
      </c>
      <c r="C42" s="8"/>
      <c r="D42" s="8"/>
      <c r="E42" s="8"/>
      <c r="F42" s="8"/>
      <c r="G42" s="8"/>
    </row>
    <row r="43" spans="2:7" ht="32" customHeight="1" x14ac:dyDescent="0.45">
      <c r="B43" s="68" t="s">
        <v>201</v>
      </c>
      <c r="C43" s="69"/>
      <c r="D43" s="69"/>
      <c r="E43" s="69"/>
      <c r="F43" s="69"/>
      <c r="G43" s="69"/>
    </row>
    <row r="44" spans="2:7" ht="32" customHeight="1" x14ac:dyDescent="0.45">
      <c r="B44" s="68" t="s">
        <v>202</v>
      </c>
      <c r="C44" s="69"/>
      <c r="D44" s="69"/>
      <c r="E44" s="69"/>
      <c r="F44" s="69"/>
      <c r="G44" s="69"/>
    </row>
    <row r="45" spans="2:7" ht="32" customHeight="1" x14ac:dyDescent="0.45">
      <c r="B45" s="68" t="s">
        <v>203</v>
      </c>
      <c r="C45" s="69"/>
      <c r="D45" s="69"/>
      <c r="E45" s="69"/>
      <c r="F45" s="69"/>
      <c r="G45" s="69"/>
    </row>
    <row r="46" spans="2:7" ht="32" customHeight="1" x14ac:dyDescent="0.45">
      <c r="B46" s="68" t="s">
        <v>204</v>
      </c>
      <c r="C46" s="69"/>
      <c r="D46" s="69"/>
      <c r="E46" s="69"/>
      <c r="F46" s="69"/>
      <c r="G46" s="69"/>
    </row>
    <row r="47" spans="2:7" ht="14" customHeight="1" x14ac:dyDescent="0.45"/>
    <row r="48" spans="2:7" ht="14" customHeight="1" x14ac:dyDescent="0.45"/>
    <row r="49" spans="2:7" ht="22.05" customHeight="1" x14ac:dyDescent="0.5">
      <c r="B49" s="7" t="s">
        <v>205</v>
      </c>
      <c r="C49" s="8"/>
      <c r="D49" s="8"/>
      <c r="E49" s="8"/>
      <c r="F49" s="8"/>
      <c r="G49" s="8"/>
    </row>
    <row r="50" spans="2:7" ht="18" customHeight="1" x14ac:dyDescent="0.45">
      <c r="B50" s="13" t="s">
        <v>206</v>
      </c>
    </row>
    <row r="51" spans="2:7" hidden="1" outlineLevel="1" x14ac:dyDescent="0.45">
      <c r="B51" s="61" t="s">
        <v>207</v>
      </c>
      <c r="D51" s="62" cm="1">
        <f t="array" aca="1" ref="D51" ca="1">_xll.VoseSimMean(Loss)</f>
        <v>365.00099999999998</v>
      </c>
    </row>
    <row r="52" spans="2:7" ht="18" hidden="1" customHeight="1" outlineLevel="1" x14ac:dyDescent="0.45">
      <c r="B52" s="23" t="s">
        <v>208</v>
      </c>
      <c r="C52" s="5"/>
      <c r="D52" s="5"/>
      <c r="E52" s="5"/>
      <c r="F52" s="24" t="s">
        <v>209</v>
      </c>
      <c r="G52" s="24" t="s">
        <v>210</v>
      </c>
    </row>
    <row r="53" spans="2:7" hidden="1" outlineLevel="1" x14ac:dyDescent="0.45">
      <c r="B53" s="63" t="str">
        <f t="shared" ref="B53:B62" ca="1" si="0">B30</f>
        <v>J  Fatal accident caused by a delivered machine</v>
      </c>
      <c r="F53" s="64">
        <f t="shared" ref="F53:F62" ca="1" si="1">IFERROR(D30-$D$51,NA())</f>
        <v>8004.2847142857136</v>
      </c>
      <c r="G53" s="64">
        <f t="shared" ref="G53:G62" ca="1" si="2">IFERROR(C30-$D$51,NA())</f>
        <v>-11.221708992589583</v>
      </c>
    </row>
    <row r="54" spans="2:7" hidden="1" outlineLevel="1" x14ac:dyDescent="0.45">
      <c r="B54" s="63" t="str">
        <f t="shared" ca="1" si="0"/>
        <v>I  Fraud by an employee</v>
      </c>
      <c r="F54" s="64">
        <f t="shared" ca="1" si="1"/>
        <v>976.19465217391303</v>
      </c>
      <c r="G54" s="64">
        <f t="shared" ca="1" si="2"/>
        <v>-9.0643831247476783</v>
      </c>
    </row>
    <row r="55" spans="2:7" hidden="1" outlineLevel="1" x14ac:dyDescent="0.45">
      <c r="B55" s="63" t="str">
        <f t="shared" ca="1" si="0"/>
        <v>D  Fire at the main workshop (uninsured part)</v>
      </c>
      <c r="F55" s="64">
        <f t="shared" ca="1" si="1"/>
        <v>784.20068067226885</v>
      </c>
      <c r="G55" s="64">
        <f t="shared" ca="1" si="2"/>
        <v>-39.193566148677007</v>
      </c>
    </row>
    <row r="56" spans="2:7" hidden="1" outlineLevel="1" x14ac:dyDescent="0.45">
      <c r="B56" s="63" t="str">
        <f t="shared" ca="1" si="0"/>
        <v>C  Product liability claim</v>
      </c>
      <c r="F56" s="64">
        <f t="shared" ca="1" si="1"/>
        <v>447.75203643724694</v>
      </c>
      <c r="G56" s="64">
        <f t="shared" ca="1" si="2"/>
        <v>-49.087773191300471</v>
      </c>
    </row>
    <row r="57" spans="2:7" hidden="1" outlineLevel="1" x14ac:dyDescent="0.45">
      <c r="B57" s="63" t="str">
        <f t="shared" ca="1" si="0"/>
        <v>A  Key fixed-price project overruns</v>
      </c>
      <c r="F57" s="64">
        <f t="shared" ca="1" si="1"/>
        <v>295.21508643457389</v>
      </c>
      <c r="G57" s="64">
        <f t="shared" ca="1" si="2"/>
        <v>-98.352553126249802</v>
      </c>
    </row>
    <row r="58" spans="2:7" hidden="1" outlineLevel="1" x14ac:dyDescent="0.45">
      <c r="B58" s="63" t="str">
        <f t="shared" ca="1" si="0"/>
        <v>E  IT failure with loss of data</v>
      </c>
      <c r="F58" s="64">
        <f t="shared" ca="1" si="1"/>
        <v>266.5827563451777</v>
      </c>
      <c r="G58" s="64">
        <f t="shared" ca="1" si="2"/>
        <v>-29.127455906821922</v>
      </c>
    </row>
    <row r="59" spans="2:7" hidden="1" outlineLevel="1" x14ac:dyDescent="0.45">
      <c r="B59" s="63" t="str">
        <f t="shared" ca="1" si="0"/>
        <v>B  Loss of a major customer</v>
      </c>
      <c r="F59" s="64">
        <f t="shared" ca="1" si="1"/>
        <v>136.91625529767913</v>
      </c>
      <c r="G59" s="64">
        <f t="shared" ca="1" si="2"/>
        <v>-57.926857407143871</v>
      </c>
    </row>
    <row r="60" spans="2:7" hidden="1" outlineLevel="1" x14ac:dyDescent="0.45">
      <c r="B60" s="63" t="str">
        <f t="shared" ca="1" si="0"/>
        <v>G  Key engineers leave</v>
      </c>
      <c r="F60" s="64">
        <f t="shared" ca="1" si="1"/>
        <v>96.607961303462332</v>
      </c>
      <c r="G60" s="64">
        <f t="shared" ca="1" si="2"/>
        <v>-23.611004977600771</v>
      </c>
    </row>
    <row r="61" spans="2:7" hidden="1" outlineLevel="1" x14ac:dyDescent="0.45">
      <c r="B61" s="63" t="str">
        <f t="shared" ca="1" si="0"/>
        <v>F  Late-delivery penalties</v>
      </c>
      <c r="F61" s="64">
        <f t="shared" ca="1" si="1"/>
        <v>71.258644414625962</v>
      </c>
      <c r="G61" s="64">
        <f t="shared" ca="1" si="2"/>
        <v>-30.263857956973879</v>
      </c>
    </row>
    <row r="62" spans="2:7" hidden="1" outlineLevel="1" x14ac:dyDescent="0.45">
      <c r="B62" s="63" t="str">
        <f t="shared" ca="1" si="0"/>
        <v>H  Exchange-rate loss on imported parts</v>
      </c>
      <c r="F62" s="64">
        <f t="shared" ca="1" si="1"/>
        <v>44.127083812098704</v>
      </c>
      <c r="G62" s="64">
        <f t="shared" ca="1" si="2"/>
        <v>-18.544530748473221</v>
      </c>
    </row>
    <row r="63" spans="2:7" hidden="1" outlineLevel="1" x14ac:dyDescent="0.45"/>
    <row r="64" spans="2:7" ht="28.05" hidden="1" customHeight="1" outlineLevel="1" x14ac:dyDescent="0.45">
      <c r="B64" s="24" t="s">
        <v>211</v>
      </c>
      <c r="C64" s="24" t="s">
        <v>212</v>
      </c>
      <c r="D64" s="24" t="s">
        <v>120</v>
      </c>
      <c r="E64" s="5"/>
      <c r="F64" s="5"/>
      <c r="G64" s="5"/>
    </row>
    <row r="65" spans="2:4" hidden="1" outlineLevel="1" x14ac:dyDescent="0.45">
      <c r="B65" s="65">
        <v>2</v>
      </c>
      <c r="C65" s="66">
        <f t="shared" ref="C65:C74" si="3">1-1/B65</f>
        <v>0.5</v>
      </c>
      <c r="D65" s="67" cm="1">
        <f t="array" aca="1" ref="D65" ca="1">IF(ISNUMBER(_xll.VoseSimPercentile(Loss,$C65)),_xll.VoseSimPercentile(Loss,$C65),NA())</f>
        <v>290</v>
      </c>
    </row>
    <row r="66" spans="2:4" hidden="1" outlineLevel="1" x14ac:dyDescent="0.45">
      <c r="B66" s="65">
        <v>5</v>
      </c>
      <c r="C66" s="66">
        <f t="shared" si="3"/>
        <v>0.8</v>
      </c>
      <c r="D66" s="67" cm="1">
        <f t="array" aca="1" ref="D66" ca="1">IF(ISNUMBER(_xll.VoseSimPercentile(Loss,$C66)),_xll.VoseSimPercentile(Loss,$C66),NA())</f>
        <v>600</v>
      </c>
    </row>
    <row r="67" spans="2:4" hidden="1" outlineLevel="1" x14ac:dyDescent="0.45">
      <c r="B67" s="65">
        <v>10</v>
      </c>
      <c r="C67" s="66">
        <f t="shared" si="3"/>
        <v>0.9</v>
      </c>
      <c r="D67" s="67" cm="1">
        <f t="array" aca="1" ref="D67" ca="1">IF(ISNUMBER(_xll.VoseSimPercentile(Loss,$C67)),_xll.VoseSimPercentile(Loss,$C67),NA())</f>
        <v>800</v>
      </c>
    </row>
    <row r="68" spans="2:4" hidden="1" outlineLevel="1" x14ac:dyDescent="0.45">
      <c r="B68" s="65">
        <v>20</v>
      </c>
      <c r="C68" s="66">
        <f t="shared" si="3"/>
        <v>0.95</v>
      </c>
      <c r="D68" s="67" cm="1">
        <f t="array" aca="1" ref="D68" ca="1">IF(ISNUMBER(_xll.VoseSimPercentile(Loss,$C68)),_xll.VoseSimPercentile(Loss,$C68),NA())</f>
        <v>1010</v>
      </c>
    </row>
    <row r="69" spans="2:4" hidden="1" outlineLevel="1" x14ac:dyDescent="0.45">
      <c r="B69" s="65">
        <v>50</v>
      </c>
      <c r="C69" s="66">
        <f t="shared" si="3"/>
        <v>0.98</v>
      </c>
      <c r="D69" s="67" cm="1">
        <f t="array" aca="1" ref="D69" ca="1">IF(ISNUMBER(_xll.VoseSimPercentile(Loss,$C69)),_xll.VoseSimPercentile(Loss,$C69),NA())</f>
        <v>1290</v>
      </c>
    </row>
    <row r="70" spans="2:4" hidden="1" outlineLevel="1" x14ac:dyDescent="0.45">
      <c r="B70" s="65">
        <v>100</v>
      </c>
      <c r="C70" s="66">
        <f t="shared" si="3"/>
        <v>0.99</v>
      </c>
      <c r="D70" s="67" cm="1">
        <f t="array" aca="1" ref="D70" ca="1">IF(ISNUMBER(_xll.VoseSimPercentile(Loss,$C70)),_xll.VoseSimPercentile(Loss,$C70),NA())</f>
        <v>1470</v>
      </c>
    </row>
    <row r="71" spans="2:4" hidden="1" outlineLevel="1" x14ac:dyDescent="0.45">
      <c r="B71" s="65">
        <v>200</v>
      </c>
      <c r="C71" s="66">
        <f t="shared" si="3"/>
        <v>0.995</v>
      </c>
      <c r="D71" s="67" cm="1">
        <f t="array" aca="1" ref="D71" ca="1">IF(ISNUMBER(_xll.VoseSimPercentile(Loss,$C71)),_xll.VoseSimPercentile(Loss,$C71),NA())</f>
        <v>1650</v>
      </c>
    </row>
    <row r="72" spans="2:4" hidden="1" outlineLevel="1" x14ac:dyDescent="0.45">
      <c r="B72" s="65">
        <v>500</v>
      </c>
      <c r="C72" s="66">
        <f t="shared" si="3"/>
        <v>0.998</v>
      </c>
      <c r="D72" s="67" cm="1">
        <f t="array" aca="1" ref="D72" ca="1">IF(ISNUMBER(_xll.VoseSimPercentile(Loss,$C72)),_xll.VoseSimPercentile(Loss,$C72),NA())</f>
        <v>1990</v>
      </c>
    </row>
    <row r="73" spans="2:4" hidden="1" outlineLevel="1" x14ac:dyDescent="0.45">
      <c r="B73" s="65">
        <v>1000</v>
      </c>
      <c r="C73" s="66">
        <f t="shared" si="3"/>
        <v>0.999</v>
      </c>
      <c r="D73" s="67" cm="1">
        <f t="array" aca="1" ref="D73" ca="1">IF(ISNUMBER(_xll.VoseSimPercentile(Loss,$C73)),_xll.VoseSimPercentile(Loss,$C73),NA())</f>
        <v>8060</v>
      </c>
    </row>
    <row r="74" spans="2:4" hidden="1" outlineLevel="1" x14ac:dyDescent="0.45">
      <c r="B74" s="65">
        <v>2000</v>
      </c>
      <c r="C74" s="66">
        <f t="shared" si="3"/>
        <v>0.99950000000000006</v>
      </c>
      <c r="D74" s="67" cm="1">
        <f t="array" aca="1" ref="D74" ca="1">IF(ISNUMBER(_xll.VoseSimPercentile(Loss,$C74)),_xll.VoseSimPercentile(Loss,$C74),NA())</f>
        <v>8450</v>
      </c>
    </row>
  </sheetData>
  <mergeCells count="4">
    <mergeCell ref="B44:G44"/>
    <mergeCell ref="B43:G43"/>
    <mergeCell ref="B46:G46"/>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65:D74">
    <cfRule type="expression" dxfId="1" priority="4">
      <formula>ISNA(D65)</formula>
    </cfRule>
  </conditionalFormatting>
  <conditionalFormatting sqref="F53:G62">
    <cfRule type="expression" dxfId="0" priority="3">
      <formula>ISNA(F53)</formula>
    </cfRule>
  </conditionalFormatting>
  <hyperlinks>
    <hyperlink ref="B4" location="'Risks'!A1" display="◂  Risk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2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39099-C091-4F4E-B7CD-D22BBAD99920}">
  <dimension ref="A1:B1"/>
  <sheetViews>
    <sheetView workbookViewId="0"/>
  </sheetViews>
  <sheetFormatPr defaultRowHeight="14.25" x14ac:dyDescent="0.45"/>
  <sheetData>
    <row r="1" spans="1:2" x14ac:dyDescent="0.45">
      <c r="A1" s="72" t="s">
        <v>213</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6730-841F-4FA5-94D4-B69426CA0960}">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B31E-2D3A-4087-9151-9B1D2AB06832}">
  <dimension ref="B3:B112"/>
  <sheetViews>
    <sheetView workbookViewId="0"/>
  </sheetViews>
  <sheetFormatPr defaultRowHeight="14.25" x14ac:dyDescent="0.45"/>
  <sheetData>
    <row r="3" spans="2:2" x14ac:dyDescent="0.45">
      <c r="B3">
        <v>1508</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492</v>
      </c>
    </row>
    <row r="13" spans="2:2" x14ac:dyDescent="0.45">
      <c r="B13">
        <v>1410</v>
      </c>
    </row>
    <row r="14" spans="2:2" x14ac:dyDescent="0.45">
      <c r="B14">
        <v>0</v>
      </c>
    </row>
    <row r="15" spans="2:2" x14ac:dyDescent="0.45">
      <c r="B15">
        <v>0</v>
      </c>
    </row>
    <row r="16" spans="2:2" x14ac:dyDescent="0.45">
      <c r="B16">
        <v>0</v>
      </c>
    </row>
    <row r="17" spans="2:2" x14ac:dyDescent="0.45">
      <c r="B17">
        <v>0</v>
      </c>
    </row>
    <row r="18" spans="2:2" x14ac:dyDescent="0.45">
      <c r="B18">
        <v>0</v>
      </c>
    </row>
    <row r="19" spans="2:2" x14ac:dyDescent="0.45">
      <c r="B19">
        <v>0</v>
      </c>
    </row>
    <row r="20" spans="2:2" x14ac:dyDescent="0.45">
      <c r="B20">
        <v>0</v>
      </c>
    </row>
    <row r="21" spans="2:2" x14ac:dyDescent="0.45">
      <c r="B21">
        <v>0</v>
      </c>
    </row>
    <row r="22" spans="2:2" x14ac:dyDescent="0.45">
      <c r="B22">
        <v>590</v>
      </c>
    </row>
    <row r="23" spans="2:2" x14ac:dyDescent="0.45">
      <c r="B23">
        <v>1804</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0</v>
      </c>
    </row>
    <row r="30" spans="2:2" x14ac:dyDescent="0.45">
      <c r="B30">
        <v>0</v>
      </c>
    </row>
    <row r="31" spans="2:2" x14ac:dyDescent="0.45">
      <c r="B31">
        <v>0</v>
      </c>
    </row>
    <row r="32" spans="2:2" x14ac:dyDescent="0.45">
      <c r="B32">
        <v>196</v>
      </c>
    </row>
    <row r="33" spans="2:2" x14ac:dyDescent="0.45">
      <c r="B33">
        <v>1905</v>
      </c>
    </row>
    <row r="34" spans="2:2" x14ac:dyDescent="0.45">
      <c r="B34">
        <v>0</v>
      </c>
    </row>
    <row r="35" spans="2:2" x14ac:dyDescent="0.45">
      <c r="B35">
        <v>0</v>
      </c>
    </row>
    <row r="36" spans="2:2" x14ac:dyDescent="0.45">
      <c r="B36">
        <v>0</v>
      </c>
    </row>
    <row r="37" spans="2:2" x14ac:dyDescent="0.45">
      <c r="B37">
        <v>0</v>
      </c>
    </row>
    <row r="38" spans="2:2" x14ac:dyDescent="0.45">
      <c r="B38">
        <v>0</v>
      </c>
    </row>
    <row r="39" spans="2:2" x14ac:dyDescent="0.45">
      <c r="B39">
        <v>0</v>
      </c>
    </row>
    <row r="40" spans="2:2" x14ac:dyDescent="0.45">
      <c r="B40">
        <v>0</v>
      </c>
    </row>
    <row r="41" spans="2:2" x14ac:dyDescent="0.45">
      <c r="B41">
        <v>0</v>
      </c>
    </row>
    <row r="42" spans="2:2" x14ac:dyDescent="0.45">
      <c r="B42">
        <v>95</v>
      </c>
    </row>
    <row r="43" spans="2:2" x14ac:dyDescent="0.45">
      <c r="B43">
        <v>1797</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203</v>
      </c>
    </row>
    <row r="53" spans="2:2" x14ac:dyDescent="0.45">
      <c r="B53">
        <v>1410</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590</v>
      </c>
    </row>
    <row r="63" spans="2:2" x14ac:dyDescent="0.45">
      <c r="B63">
        <v>1579</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421</v>
      </c>
    </row>
    <row r="73" spans="2:2" x14ac:dyDescent="0.45">
      <c r="B73">
        <v>1410</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590</v>
      </c>
    </row>
    <row r="83" spans="2:2" x14ac:dyDescent="0.45">
      <c r="B83">
        <v>1980</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20</v>
      </c>
    </row>
    <row r="93" spans="2:2" x14ac:dyDescent="0.45">
      <c r="B93">
        <v>1998</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2</v>
      </c>
    </row>
    <row r="103" spans="2:2" x14ac:dyDescent="0.45">
      <c r="B103">
        <v>1808</v>
      </c>
    </row>
    <row r="104" spans="2:2" x14ac:dyDescent="0.45">
      <c r="B104">
        <v>179</v>
      </c>
    </row>
    <row r="105" spans="2:2" x14ac:dyDescent="0.45">
      <c r="B105">
        <v>11</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DB750862-874B-4745-8295-34CD374473E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About</vt:lpstr>
      <vt:lpstr>Inputs</vt:lpstr>
      <vt:lpstr>Risks</vt:lpstr>
      <vt:lpstr>Results</vt:lpstr>
      <vt:lpstr>ModelRiskDSN</vt:lpstr>
      <vt:lpstr>ModelRiskSYS1</vt:lpstr>
      <vt:lpstr>ModelRiskCharts</vt:lpstr>
      <vt:lpstr>Checks</vt:lpstr>
      <vt:lpstr>ExpLoss</vt:lpstr>
      <vt:lpstr>Impact</vt:lpstr>
      <vt:lpstr>Loss</vt:lpstr>
      <vt:lpstr>MaxLoss</vt:lpstr>
      <vt:lpstr>Needed</vt:lpstr>
      <vt:lpstr>NeededList</vt:lpstr>
      <vt:lpstr>Results!Print_Area</vt:lpstr>
      <vt:lpstr>Inputs!Print_Titles</vt:lpstr>
      <vt:lpstr>Results!Print_Titles</vt:lpstr>
      <vt:lpstr>Prob</vt:lpstr>
      <vt:lpstr>RiskID</vt:lpstr>
      <vt:lpstr>Ruin</vt:lpstr>
      <vt:lpstr>RuinExact</vt:lpstr>
      <vt:lpstr>Threshold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GU-03 Probability of Ruin</dc:title>
  <dc:subject>ModelRisk industry example library — General use</dc:subject>
  <dc:creator>Vose Software</dc:creator>
  <cp:keywords>ModelRisk; Monte Carlo; General use</cp:keywords>
  <dc:description>Ten risks sorted by expected cost, and the one that can ruin the company: the probability of ruin, simulated and exact.</dc:description>
  <cp:lastModifiedBy>Timour Koupeev</cp:lastModifiedBy>
  <cp:lastPrinted>2026-10-07T12:30:17Z</cp:lastPrinted>
  <dcterms:created xsi:type="dcterms:W3CDTF">2026-10-07T12:29:31Z</dcterms:created>
  <dcterms:modified xsi:type="dcterms:W3CDTF">2026-10-07T12:30:19Z</dcterms:modified>
</cp:coreProperties>
</file>