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1AF51AD3-3786-4D25-8C28-CC116FD742E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Risks" sheetId="3" r:id="rId3"/>
    <sheet name="Results" sheetId="4" r:id="rId4"/>
    <sheet name="ModelRiskDSN" sheetId="5" state="hidden" r:id="rId5"/>
    <sheet name="ModelRiskSYS1" sheetId="6" state="hidden" r:id="rId6"/>
    <sheet name="ModelRiskCharts" sheetId="7" state="hidden" r:id="rId7"/>
  </sheets>
  <definedNames>
    <definedName name="Checks">Risks!$I$153:$I$154</definedName>
    <definedName name="CLT">Risks!$J$149</definedName>
    <definedName name="Confidence">Inputs!$D$11</definedName>
    <definedName name="_xlnm.Print_Area" localSheetId="3">Results!$A$1:$R$55</definedName>
    <definedName name="_xlnm.Print_Titles" localSheetId="1">Inputs!$1:$4</definedName>
    <definedName name="_xlnm.Print_Titles" localSheetId="3">Results!$1:$4</definedName>
    <definedName name="RiskID">Risks!$B$10:$B$141</definedName>
    <definedName name="RiskMeanIf">Risks!$J$10:$J$141</definedName>
    <definedName name="RiskP">Risks!$C$10:$C$141</definedName>
    <definedName name="RiskVar">Risks!$M$10:$M$141</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al">Risks!$J$148</definedName>
    <definedName name="TotalMean">Risks!$L$142</definedName>
    <definedName name="TotalSD">Risks!$J$147</definedName>
    <definedName name="TotalVar">Risks!$M$142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1" i="3" l="1" a="1"/>
  <c r="I141" i="3" s="1"/>
  <c r="I140" i="3" a="1"/>
  <c r="I140" i="3" s="1"/>
  <c r="I139" i="3" a="1"/>
  <c r="I139" i="3" s="1"/>
  <c r="I138" i="3" a="1"/>
  <c r="I138" i="3" s="1"/>
  <c r="I137" i="3" a="1"/>
  <c r="I137" i="3" s="1"/>
  <c r="I136" i="3" a="1"/>
  <c r="I136" i="3" s="1"/>
  <c r="I135" i="3" a="1"/>
  <c r="I135" i="3" s="1"/>
  <c r="I134" i="3" a="1"/>
  <c r="I134" i="3" s="1"/>
  <c r="I133" i="3" a="1"/>
  <c r="I133" i="3" s="1"/>
  <c r="I132" i="3" a="1"/>
  <c r="I132" i="3" s="1"/>
  <c r="I131" i="3" a="1"/>
  <c r="I131" i="3" s="1"/>
  <c r="I130" i="3" a="1"/>
  <c r="I130" i="3" s="1"/>
  <c r="I129" i="3" a="1"/>
  <c r="I129" i="3" s="1"/>
  <c r="I128" i="3" a="1"/>
  <c r="I128" i="3" s="1"/>
  <c r="I127" i="3" a="1"/>
  <c r="I127" i="3" s="1"/>
  <c r="I126" i="3" a="1"/>
  <c r="I126" i="3" s="1"/>
  <c r="I125" i="3" a="1"/>
  <c r="I125" i="3" s="1"/>
  <c r="I124" i="3" a="1"/>
  <c r="I124" i="3" s="1"/>
  <c r="I123" i="3" a="1"/>
  <c r="I123" i="3" s="1"/>
  <c r="I122" i="3" a="1"/>
  <c r="I122" i="3"/>
  <c r="I121" i="3" a="1"/>
  <c r="I121" i="3" s="1"/>
  <c r="I120" i="3" a="1"/>
  <c r="I120" i="3" s="1"/>
  <c r="I119" i="3" a="1"/>
  <c r="I119" i="3" s="1"/>
  <c r="I118" i="3" a="1"/>
  <c r="I118" i="3" s="1"/>
  <c r="I117" i="3" a="1"/>
  <c r="I117" i="3" s="1"/>
  <c r="I116" i="3" a="1"/>
  <c r="I116" i="3" s="1"/>
  <c r="I115" i="3" a="1"/>
  <c r="I115" i="3" s="1"/>
  <c r="I114" i="3" a="1"/>
  <c r="I114" i="3" s="1"/>
  <c r="I113" i="3" a="1"/>
  <c r="I113" i="3" s="1"/>
  <c r="I112" i="3" a="1"/>
  <c r="I112" i="3" s="1"/>
  <c r="I111" i="3" a="1"/>
  <c r="I111" i="3" s="1"/>
  <c r="I110" i="3" a="1"/>
  <c r="I110" i="3"/>
  <c r="I109" i="3" a="1"/>
  <c r="I109" i="3" s="1"/>
  <c r="I108" i="3" a="1"/>
  <c r="I108" i="3" s="1"/>
  <c r="I107" i="3" a="1"/>
  <c r="I107" i="3" s="1"/>
  <c r="I106" i="3" a="1"/>
  <c r="I106" i="3" s="1"/>
  <c r="I105" i="3" a="1"/>
  <c r="I105" i="3" s="1"/>
  <c r="I104" i="3" a="1"/>
  <c r="I104" i="3" s="1"/>
  <c r="I103" i="3" a="1"/>
  <c r="I103" i="3" s="1"/>
  <c r="I102" i="3" a="1"/>
  <c r="I102" i="3" s="1"/>
  <c r="I101" i="3" a="1"/>
  <c r="I101" i="3" s="1"/>
  <c r="I100" i="3" a="1"/>
  <c r="I100" i="3" s="1"/>
  <c r="I99" i="3" a="1"/>
  <c r="I99" i="3" s="1"/>
  <c r="I98" i="3" a="1"/>
  <c r="I98" i="3" s="1"/>
  <c r="I97" i="3" a="1"/>
  <c r="I97" i="3" s="1"/>
  <c r="I96" i="3" a="1"/>
  <c r="I96" i="3" s="1"/>
  <c r="I95" i="3" a="1"/>
  <c r="I95" i="3" s="1"/>
  <c r="I94" i="3" a="1"/>
  <c r="I94" i="3" s="1"/>
  <c r="I93" i="3" a="1"/>
  <c r="I93" i="3" s="1"/>
  <c r="I92" i="3" a="1"/>
  <c r="I92" i="3" s="1"/>
  <c r="I91" i="3" a="1"/>
  <c r="I91" i="3" s="1"/>
  <c r="I90" i="3" a="1"/>
  <c r="I90" i="3" s="1"/>
  <c r="I89" i="3" a="1"/>
  <c r="I89" i="3" s="1"/>
  <c r="I88" i="3" a="1"/>
  <c r="I88" i="3" s="1"/>
  <c r="I87" i="3" a="1"/>
  <c r="I87" i="3" s="1"/>
  <c r="I86" i="3" a="1"/>
  <c r="I86" i="3" s="1"/>
  <c r="I85" i="3" a="1"/>
  <c r="I85" i="3" s="1"/>
  <c r="I84" i="3" a="1"/>
  <c r="I84" i="3" s="1"/>
  <c r="I83" i="3" a="1"/>
  <c r="I83" i="3" s="1"/>
  <c r="I82" i="3" a="1"/>
  <c r="I82" i="3" s="1"/>
  <c r="I81" i="3" a="1"/>
  <c r="I81" i="3" s="1"/>
  <c r="I80" i="3" a="1"/>
  <c r="I80" i="3" s="1"/>
  <c r="I79" i="3" a="1"/>
  <c r="I79" i="3" s="1"/>
  <c r="I78" i="3" a="1"/>
  <c r="I78" i="3" s="1"/>
  <c r="I77" i="3" a="1"/>
  <c r="I77" i="3" s="1"/>
  <c r="I76" i="3" a="1"/>
  <c r="I76" i="3" s="1"/>
  <c r="I75" i="3" a="1"/>
  <c r="I75" i="3" s="1"/>
  <c r="I74" i="3" a="1"/>
  <c r="I74" i="3" s="1"/>
  <c r="I73" i="3" a="1"/>
  <c r="I73" i="3" s="1"/>
  <c r="I72" i="3" a="1"/>
  <c r="I72" i="3" s="1"/>
  <c r="I71" i="3" a="1"/>
  <c r="I71" i="3" s="1"/>
  <c r="I70" i="3" a="1"/>
  <c r="I70" i="3" s="1"/>
  <c r="I69" i="3" a="1"/>
  <c r="I69" i="3" s="1"/>
  <c r="I68" i="3" a="1"/>
  <c r="I68" i="3" s="1"/>
  <c r="I67" i="3" a="1"/>
  <c r="I67" i="3" s="1"/>
  <c r="I66" i="3" a="1"/>
  <c r="I66" i="3" s="1"/>
  <c r="I65" i="3" a="1"/>
  <c r="I65" i="3" s="1"/>
  <c r="I64" i="3" a="1"/>
  <c r="I64" i="3" s="1"/>
  <c r="I63" i="3" a="1"/>
  <c r="I63" i="3" s="1"/>
  <c r="I62" i="3" a="1"/>
  <c r="I62" i="3" s="1"/>
  <c r="I61" i="3" a="1"/>
  <c r="I61" i="3" s="1"/>
  <c r="I60" i="3" a="1"/>
  <c r="I60" i="3" s="1"/>
  <c r="I59" i="3" a="1"/>
  <c r="I59" i="3" s="1"/>
  <c r="I58" i="3" a="1"/>
  <c r="I58" i="3" s="1"/>
  <c r="I57" i="3" a="1"/>
  <c r="I57" i="3" s="1"/>
  <c r="I56" i="3" a="1"/>
  <c r="I56" i="3" s="1"/>
  <c r="I55" i="3" a="1"/>
  <c r="I55" i="3" s="1"/>
  <c r="I54" i="3" a="1"/>
  <c r="I54" i="3" s="1"/>
  <c r="I53" i="3" a="1"/>
  <c r="I53" i="3" s="1"/>
  <c r="I52" i="3" a="1"/>
  <c r="I52" i="3" s="1"/>
  <c r="I51" i="3" a="1"/>
  <c r="I51" i="3" s="1"/>
  <c r="I50" i="3" a="1"/>
  <c r="I50" i="3" s="1"/>
  <c r="I49" i="3" a="1"/>
  <c r="I49" i="3" s="1"/>
  <c r="I48" i="3" a="1"/>
  <c r="I48" i="3" s="1"/>
  <c r="I47" i="3" a="1"/>
  <c r="I47" i="3" s="1"/>
  <c r="I46" i="3" a="1"/>
  <c r="I46" i="3" s="1"/>
  <c r="I45" i="3" a="1"/>
  <c r="I45" i="3" s="1"/>
  <c r="I44" i="3" a="1"/>
  <c r="I44" i="3" s="1"/>
  <c r="I43" i="3" a="1"/>
  <c r="I43" i="3" s="1"/>
  <c r="I42" i="3" a="1"/>
  <c r="I42" i="3" s="1"/>
  <c r="I41" i="3" a="1"/>
  <c r="I41" i="3" s="1"/>
  <c r="I40" i="3" a="1"/>
  <c r="I40" i="3" s="1"/>
  <c r="I39" i="3" a="1"/>
  <c r="I39" i="3" s="1"/>
  <c r="I38" i="3" a="1"/>
  <c r="I38" i="3" s="1"/>
  <c r="I37" i="3" a="1"/>
  <c r="I37" i="3" s="1"/>
  <c r="I36" i="3" a="1"/>
  <c r="I36" i="3" s="1"/>
  <c r="I35" i="3" a="1"/>
  <c r="I35" i="3"/>
  <c r="I34" i="3" a="1"/>
  <c r="I34" i="3" s="1"/>
  <c r="I33" i="3" a="1"/>
  <c r="I33" i="3" s="1"/>
  <c r="I32" i="3" a="1"/>
  <c r="I32" i="3" s="1"/>
  <c r="I31" i="3" a="1"/>
  <c r="I31" i="3" s="1"/>
  <c r="I30" i="3" a="1"/>
  <c r="I30" i="3" s="1"/>
  <c r="I29" i="3" a="1"/>
  <c r="I29" i="3" s="1"/>
  <c r="I28" i="3" a="1"/>
  <c r="I28" i="3" s="1"/>
  <c r="I27" i="3" a="1"/>
  <c r="I27" i="3" s="1"/>
  <c r="I26" i="3" a="1"/>
  <c r="I26" i="3" s="1"/>
  <c r="I25" i="3" a="1"/>
  <c r="I25" i="3" s="1"/>
  <c r="I24" i="3" a="1"/>
  <c r="I24" i="3" s="1"/>
  <c r="I23" i="3" a="1"/>
  <c r="I23" i="3" s="1"/>
  <c r="I22" i="3" a="1"/>
  <c r="I22" i="3"/>
  <c r="I21" i="3" a="1"/>
  <c r="I21" i="3" s="1"/>
  <c r="I20" i="3" a="1"/>
  <c r="I20" i="3" s="1"/>
  <c r="I19" i="3" a="1"/>
  <c r="I19" i="3" s="1"/>
  <c r="I18" i="3" a="1"/>
  <c r="I18" i="3" s="1"/>
  <c r="I17" i="3" a="1"/>
  <c r="I17" i="3" s="1"/>
  <c r="I16" i="3" a="1"/>
  <c r="I16" i="3" s="1"/>
  <c r="I15" i="3" a="1"/>
  <c r="I15" i="3" s="1"/>
  <c r="I14" i="3" a="1"/>
  <c r="I14" i="3" s="1"/>
  <c r="I13" i="3" a="1"/>
  <c r="I13" i="3" s="1"/>
  <c r="I12" i="3" a="1"/>
  <c r="I12" i="3" s="1"/>
  <c r="I11" i="3" a="1"/>
  <c r="I11" i="3" s="1"/>
  <c r="I10" i="3" a="1"/>
  <c r="I10" i="3" s="1"/>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D19" i="4"/>
  <c r="I154" i="3"/>
  <c r="I153" i="3"/>
  <c r="B7" i="4" s="1"/>
  <c r="N115" i="3" a="1"/>
  <c r="N112" i="3" a="1"/>
  <c r="N48" i="3" a="1"/>
  <c r="N93" i="3" a="1"/>
  <c r="N90" i="3" a="1"/>
  <c r="N127" i="3" a="1"/>
  <c r="N25" i="3" a="1"/>
  <c r="J125" i="3" a="1"/>
  <c r="N100" i="3" a="1"/>
  <c r="N14" i="3" a="1"/>
  <c r="N57" i="3" a="1"/>
  <c r="K133" i="3" a="1"/>
  <c r="J112" i="3" a="1"/>
  <c r="N32" i="3" a="1"/>
  <c r="J109" i="3" a="1"/>
  <c r="J93" i="3" a="1"/>
  <c r="N35" i="3" a="1"/>
  <c r="K129" i="3" a="1"/>
  <c r="N45" i="3" a="1"/>
  <c r="N73" i="3" a="1"/>
  <c r="K91" i="3" a="1"/>
  <c r="K59" i="3" a="1"/>
  <c r="K41" i="3" a="1"/>
  <c r="K25" i="3" a="1"/>
  <c r="J66" i="3" a="1"/>
  <c r="N20" i="3" a="1"/>
  <c r="J82" i="3" a="1"/>
  <c r="J37" i="3" a="1"/>
  <c r="J46" i="3" a="1"/>
  <c r="K132" i="3" a="1"/>
  <c r="J91" i="3" a="1"/>
  <c r="J59" i="3" a="1"/>
  <c r="K42" i="3" a="1"/>
  <c r="K10" i="3" a="1"/>
  <c r="J120" i="3" a="1"/>
  <c r="K44" i="3" a="1"/>
  <c r="J110" i="3" a="1"/>
  <c r="N69" i="3" a="1"/>
  <c r="J77" i="3" a="1"/>
  <c r="N81" i="3" a="1"/>
  <c r="K107" i="3" a="1"/>
  <c r="K78" i="3" a="1"/>
  <c r="J38" i="3" a="1"/>
  <c r="J102" i="3" a="1"/>
  <c r="K28" i="3" a="1"/>
  <c r="K87" i="3" a="1"/>
  <c r="J72" i="3" a="1"/>
  <c r="J23" i="3" a="1"/>
  <c r="K12" i="3" a="1"/>
  <c r="J61" i="3" a="1"/>
  <c r="N91" i="3" a="1"/>
  <c r="N80" i="3" a="1"/>
  <c r="N117" i="3" a="1"/>
  <c r="N106" i="3" a="1"/>
  <c r="N34" i="3" a="1"/>
  <c r="N17" i="3" a="1"/>
  <c r="K121" i="3" a="1"/>
  <c r="N61" i="3" a="1"/>
  <c r="N105" i="3" a="1"/>
  <c r="N11" i="3" a="1"/>
  <c r="K117" i="3" a="1"/>
  <c r="N46" i="3" a="1"/>
  <c r="K106" i="3" a="1"/>
  <c r="N119" i="3" a="1"/>
  <c r="N13" i="3" a="1"/>
  <c r="N92" i="3" a="1"/>
  <c r="K136" i="3" a="1"/>
  <c r="J98" i="3" a="1"/>
  <c r="K62" i="3" a="1"/>
  <c r="J40" i="3" a="1"/>
  <c r="K21" i="3" a="1"/>
  <c r="K55" i="3" a="1"/>
  <c r="J108" i="3" a="1"/>
  <c r="K68" i="3" a="1"/>
  <c r="J13" i="3" a="1"/>
  <c r="N41" i="3" a="1"/>
  <c r="J88" i="3" a="1"/>
  <c r="K54" i="3" a="1"/>
  <c r="J33" i="3" a="1"/>
  <c r="K31" i="3" a="1"/>
  <c r="K127" i="3" a="1"/>
  <c r="N12" i="3" a="1"/>
  <c r="N86" i="3" a="1"/>
  <c r="J74" i="3" a="1"/>
  <c r="K128" i="3" a="1"/>
  <c r="K97" i="3" a="1"/>
  <c r="J54" i="3" a="1"/>
  <c r="K11" i="3" a="1"/>
  <c r="K40" i="3" a="1"/>
  <c r="K90" i="3" a="1"/>
  <c r="K70" i="3" a="1"/>
  <c r="N62" i="3" a="1"/>
  <c r="J90" i="3" a="1"/>
  <c r="N131" i="3" a="1"/>
  <c r="N120" i="3" a="1"/>
  <c r="N40" i="3" a="1"/>
  <c r="N138" i="3" a="1"/>
  <c r="N66" i="3" a="1"/>
  <c r="N65" i="3" a="1"/>
  <c r="J134" i="3" a="1"/>
  <c r="N132" i="3" a="1"/>
  <c r="N22" i="3" a="1"/>
  <c r="N43" i="3" a="1"/>
  <c r="J128" i="3" a="1"/>
  <c r="N94" i="3" a="1"/>
  <c r="J135" i="3" a="1"/>
  <c r="K98" i="3" a="1"/>
  <c r="N63" i="3" a="1"/>
  <c r="K131" i="3" a="1"/>
  <c r="N38" i="3" a="1"/>
  <c r="N31" i="3" a="1"/>
  <c r="J73" i="3" a="1"/>
  <c r="K49" i="3" a="1"/>
  <c r="J32" i="3" a="1"/>
  <c r="K13" i="3" a="1"/>
  <c r="N44" i="3" a="1"/>
  <c r="J79" i="3" a="1"/>
  <c r="J29" i="3" a="1"/>
  <c r="K23" i="3" a="1"/>
  <c r="J106" i="3" a="1"/>
  <c r="K77" i="3" a="1"/>
  <c r="K46" i="3" a="1"/>
  <c r="J17" i="3" a="1"/>
  <c r="J115" i="3" a="1"/>
  <c r="K32" i="3" a="1"/>
  <c r="K93" i="3" a="1"/>
  <c r="K109" i="3" a="1"/>
  <c r="K63" i="3" a="1"/>
  <c r="K115" i="3" a="1"/>
  <c r="J80" i="3" a="1"/>
  <c r="K27" i="3" a="1"/>
  <c r="K95" i="3" a="1"/>
  <c r="N118" i="3" a="1"/>
  <c r="J117" i="3" a="1"/>
  <c r="J47" i="3" a="1"/>
  <c r="K67" i="3" a="1"/>
  <c r="J55" i="3" a="1"/>
  <c r="N104" i="3" a="1"/>
  <c r="N125" i="3" a="1"/>
  <c r="N82" i="3" a="1"/>
  <c r="N51" i="3" a="1"/>
  <c r="K123" i="3" a="1"/>
  <c r="N36" i="3" a="1"/>
  <c r="N39" i="3" a="1"/>
  <c r="K119" i="3" a="1"/>
  <c r="N16" i="3" a="1"/>
  <c r="J97" i="3" a="1"/>
  <c r="N21" i="3" a="1"/>
  <c r="N70" i="3" a="1"/>
  <c r="K141" i="3" a="1"/>
  <c r="J64" i="3" a="1"/>
  <c r="J36" i="3" a="1"/>
  <c r="J12" i="3" a="1"/>
  <c r="K116" i="3" a="1"/>
  <c r="K38" i="3" a="1"/>
  <c r="J22" i="3" a="1"/>
  <c r="J96" i="3" a="1"/>
  <c r="K50" i="3" a="1"/>
  <c r="J57" i="3" a="1"/>
  <c r="J138" i="3" a="1"/>
  <c r="K103" i="3" a="1"/>
  <c r="J94" i="3" a="1"/>
  <c r="N15" i="3" a="1"/>
  <c r="J86" i="3" a="1"/>
  <c r="J26" i="3" a="1"/>
  <c r="J43" i="3" a="1"/>
  <c r="J69" i="3" a="1"/>
  <c r="K36" i="3" a="1"/>
  <c r="J95" i="3" a="1"/>
  <c r="N139" i="3" a="1"/>
  <c r="N96" i="3" a="1"/>
  <c r="N109" i="3" a="1"/>
  <c r="N74" i="3" a="1"/>
  <c r="N47" i="3" a="1"/>
  <c r="J118" i="3" a="1"/>
  <c r="N30" i="3" a="1"/>
  <c r="N27" i="3" a="1"/>
  <c r="J114" i="3" a="1"/>
  <c r="K140" i="3" a="1"/>
  <c r="K94" i="3" a="1"/>
  <c r="J140" i="3" a="1"/>
  <c r="N52" i="3" a="1"/>
  <c r="J124" i="3" a="1"/>
  <c r="K56" i="3" a="1"/>
  <c r="K33" i="3" a="1"/>
  <c r="J63" i="3" a="1"/>
  <c r="J103" i="3" a="1"/>
  <c r="K30" i="3" a="1"/>
  <c r="N129" i="3" a="1"/>
  <c r="K86" i="3" a="1"/>
  <c r="J49" i="3" a="1"/>
  <c r="K43" i="3" a="1"/>
  <c r="K122" i="3" a="1"/>
  <c r="J100" i="3" a="1"/>
  <c r="K92" i="3" a="1"/>
  <c r="K125" i="3" a="1"/>
  <c r="J83" i="3" a="1"/>
  <c r="K15" i="3" a="1"/>
  <c r="J39" i="3" a="1"/>
  <c r="N23" i="3" a="1"/>
  <c r="K24" i="3" a="1"/>
  <c r="J84" i="3" a="1"/>
  <c r="N123" i="3" a="1"/>
  <c r="N88" i="3" a="1"/>
  <c r="N101" i="3" a="1"/>
  <c r="N58" i="3" a="1"/>
  <c r="N33" i="3" a="1"/>
  <c r="J116" i="3" a="1"/>
  <c r="J139" i="3" a="1"/>
  <c r="N126" i="3" a="1"/>
  <c r="K124" i="3" a="1"/>
  <c r="N135" i="3" a="1"/>
  <c r="K138" i="3" a="1"/>
  <c r="J122" i="3" a="1"/>
  <c r="K29" i="3" a="1"/>
  <c r="K101" i="3" a="1"/>
  <c r="N55" i="3" a="1"/>
  <c r="J45" i="3" a="1"/>
  <c r="J107" i="3" a="1"/>
  <c r="K89" i="3" a="1"/>
  <c r="K75" i="3" a="1"/>
  <c r="J14" i="3" a="1"/>
  <c r="K105" i="3" a="1"/>
  <c r="K79" i="3" a="1"/>
  <c r="N19" i="3" a="1"/>
  <c r="N26" i="3" a="1"/>
  <c r="K53" i="3" a="1"/>
  <c r="J60" i="3" a="1"/>
  <c r="K22" i="3" a="1"/>
  <c r="K83" i="3" a="1"/>
  <c r="J42" i="3" a="1"/>
  <c r="J87" i="3" a="1"/>
  <c r="J123" i="3" a="1"/>
  <c r="J27" i="3" a="1"/>
  <c r="N76" i="3" a="1"/>
  <c r="N83" i="3" a="1"/>
  <c r="N56" i="3" a="1"/>
  <c r="N122" i="3" a="1"/>
  <c r="N111" i="3" a="1"/>
  <c r="K137" i="3" a="1"/>
  <c r="N84" i="3" a="1"/>
  <c r="N89" i="3" a="1"/>
  <c r="J130" i="3" a="1"/>
  <c r="N60" i="3" a="1"/>
  <c r="J105" i="3" a="1"/>
  <c r="N67" i="3" a="1"/>
  <c r="N124" i="3" a="1"/>
  <c r="J131" i="3" a="1"/>
  <c r="K85" i="3" a="1"/>
  <c r="K45" i="3" a="1"/>
  <c r="J20" i="3" a="1"/>
  <c r="N134" i="3" a="1"/>
  <c r="K74" i="3" a="1"/>
  <c r="K47" i="3" a="1"/>
  <c r="K111" i="3" a="1"/>
  <c r="J62" i="3" a="1"/>
  <c r="K26" i="3" a="1"/>
  <c r="J18" i="3" a="1"/>
  <c r="K20" i="3" a="1"/>
  <c r="N28" i="3" a="1"/>
  <c r="K66" i="3" a="1"/>
  <c r="J104" i="3" a="1"/>
  <c r="K51" i="3" a="1"/>
  <c r="K100" i="3" a="1"/>
  <c r="J10" i="3" a="1"/>
  <c r="K64" i="3" a="1"/>
  <c r="J81" i="3" a="1"/>
  <c r="N136" i="3" a="1"/>
  <c r="N114" i="3" a="1"/>
  <c r="J132" i="3" a="1"/>
  <c r="N75" i="3" a="1"/>
  <c r="N53" i="3" a="1"/>
  <c r="N49" i="3" a="1"/>
  <c r="N113" i="3" a="1"/>
  <c r="J44" i="3" a="1"/>
  <c r="J136" i="3" a="1"/>
  <c r="K35" i="3" a="1"/>
  <c r="J56" i="3" a="1"/>
  <c r="K81" i="3" a="1"/>
  <c r="K118" i="3" a="1"/>
  <c r="J99" i="3" a="1"/>
  <c r="K52" i="3" a="1"/>
  <c r="K61" i="3" a="1"/>
  <c r="N128" i="3" a="1"/>
  <c r="N98" i="3" a="1"/>
  <c r="K130" i="3" a="1"/>
  <c r="N71" i="3" a="1"/>
  <c r="N24" i="3" a="1"/>
  <c r="N29" i="3" a="1"/>
  <c r="N59" i="3" a="1"/>
  <c r="K37" i="3" a="1"/>
  <c r="J129" i="3" a="1"/>
  <c r="J34" i="3" a="1"/>
  <c r="J53" i="3" a="1"/>
  <c r="K58" i="3" a="1"/>
  <c r="J111" i="3" a="1"/>
  <c r="J89" i="3" a="1"/>
  <c r="J51" i="3" a="1"/>
  <c r="K48" i="3" a="1"/>
  <c r="J133" i="3" a="1"/>
  <c r="K96" i="3" a="1"/>
  <c r="N72" i="3" a="1"/>
  <c r="N50" i="3" a="1"/>
  <c r="K114" i="3" a="1"/>
  <c r="J137" i="3" a="1"/>
  <c r="J119" i="3" a="1"/>
  <c r="J28" i="3" a="1"/>
  <c r="J85" i="3" a="1"/>
  <c r="J126" i="3" a="1"/>
  <c r="J41" i="3" a="1"/>
  <c r="J35" i="3" a="1"/>
  <c r="J71" i="3" a="1"/>
  <c r="K72" i="3" a="1"/>
  <c r="K16" i="3" a="1"/>
  <c r="K112" i="3" a="1"/>
  <c r="N95" i="3" a="1"/>
  <c r="J15" i="3" a="1"/>
  <c r="N64" i="3" a="1"/>
  <c r="N42" i="3" a="1"/>
  <c r="N116" i="3" a="1"/>
  <c r="K135" i="3" a="1"/>
  <c r="K110" i="3" a="1"/>
  <c r="N140" i="3" a="1"/>
  <c r="K88" i="3" a="1"/>
  <c r="J24" i="3" a="1"/>
  <c r="J76" i="3" a="1"/>
  <c r="K113" i="3" a="1"/>
  <c r="K34" i="3" a="1"/>
  <c r="J31" i="3" a="1"/>
  <c r="J68" i="3" a="1"/>
  <c r="K69" i="3" a="1"/>
  <c r="J58" i="3" a="1"/>
  <c r="K108" i="3" a="1"/>
  <c r="N141" i="3" a="1"/>
  <c r="N68" i="3" a="1"/>
  <c r="K126" i="3" a="1"/>
  <c r="K102" i="3" a="1"/>
  <c r="N108" i="3" a="1"/>
  <c r="J70" i="3" a="1"/>
  <c r="K71" i="3" a="1"/>
  <c r="K104" i="3" a="1"/>
  <c r="J25" i="3" a="1"/>
  <c r="J19" i="3" a="1"/>
  <c r="K60" i="3" a="1"/>
  <c r="J92" i="3" a="1"/>
  <c r="K17" i="3" a="1"/>
  <c r="J50" i="3" a="1"/>
  <c r="N85" i="3" a="1"/>
  <c r="J121" i="3" a="1"/>
  <c r="N10" i="3" a="1"/>
  <c r="J21" i="3" a="1"/>
  <c r="J127" i="3" a="1"/>
  <c r="N37" i="3" a="1"/>
  <c r="K139" i="3" a="1"/>
  <c r="N103" i="3" a="1"/>
  <c r="J65" i="3" a="1"/>
  <c r="J11" i="3" a="1"/>
  <c r="N18" i="3" a="1"/>
  <c r="N130" i="3" a="1"/>
  <c r="N110" i="3" a="1"/>
  <c r="J67" i="3" a="1"/>
  <c r="K14" i="3" a="1"/>
  <c r="K82" i="3" a="1"/>
  <c r="K84" i="3" a="1"/>
  <c r="K120" i="3" a="1"/>
  <c r="N54" i="3" a="1"/>
  <c r="N87" i="3" a="1"/>
  <c r="K18" i="3" a="1"/>
  <c r="N79" i="3" a="1"/>
  <c r="N78" i="3" a="1"/>
  <c r="J52" i="3" a="1"/>
  <c r="K99" i="3" a="1"/>
  <c r="K76" i="3" a="1"/>
  <c r="J78" i="3" a="1"/>
  <c r="J16" i="3" a="1"/>
  <c r="N107" i="3" a="1"/>
  <c r="N97" i="3" a="1"/>
  <c r="K73" i="3" a="1"/>
  <c r="N99" i="3" a="1"/>
  <c r="N137" i="3" a="1"/>
  <c r="N77" i="3" a="1"/>
  <c r="K134" i="3" a="1"/>
  <c r="J30" i="3" a="1"/>
  <c r="K39" i="3" a="1"/>
  <c r="J141" i="3" a="1"/>
  <c r="J101" i="3" a="1"/>
  <c r="J48" i="3" a="1"/>
  <c r="K80" i="3" a="1"/>
  <c r="K57" i="3" a="1"/>
  <c r="J75" i="3" a="1"/>
  <c r="J113" i="3" a="1"/>
  <c r="N133" i="3" a="1"/>
  <c r="N121" i="3" a="1"/>
  <c r="K65" i="3" a="1"/>
  <c r="K19" i="3" a="1"/>
  <c r="N102" i="3" a="1"/>
  <c r="N102" i="3" l="1"/>
  <c r="K19" i="3"/>
  <c r="K65" i="3"/>
  <c r="N121" i="3"/>
  <c r="N133" i="3"/>
  <c r="J113" i="3"/>
  <c r="L113" i="3" s="1"/>
  <c r="J75" i="3"/>
  <c r="L75" i="3" s="1"/>
  <c r="K57" i="3"/>
  <c r="K80" i="3"/>
  <c r="J48" i="3"/>
  <c r="L48" i="3" s="1"/>
  <c r="J101" i="3"/>
  <c r="L101" i="3" s="1"/>
  <c r="J141" i="3"/>
  <c r="L141" i="3" s="1"/>
  <c r="K39" i="3"/>
  <c r="J30" i="3"/>
  <c r="L30" i="3" s="1"/>
  <c r="K134" i="3"/>
  <c r="N77" i="3"/>
  <c r="N137" i="3"/>
  <c r="N99" i="3"/>
  <c r="K73" i="3"/>
  <c r="N97" i="3"/>
  <c r="N107" i="3"/>
  <c r="J16" i="3"/>
  <c r="L16" i="3" s="1"/>
  <c r="J78" i="3"/>
  <c r="L78" i="3" s="1"/>
  <c r="K76" i="3"/>
  <c r="K99" i="3"/>
  <c r="J52" i="3"/>
  <c r="L52" i="3" s="1"/>
  <c r="N78" i="3"/>
  <c r="N79" i="3"/>
  <c r="K18" i="3"/>
  <c r="N87" i="3"/>
  <c r="N54" i="3"/>
  <c r="K120" i="3"/>
  <c r="K84" i="3"/>
  <c r="K82" i="3"/>
  <c r="K14" i="3"/>
  <c r="J67" i="3"/>
  <c r="L67" i="3" s="1"/>
  <c r="N110" i="3"/>
  <c r="N130" i="3"/>
  <c r="N18" i="3"/>
  <c r="J11" i="3"/>
  <c r="L11" i="3" s="1"/>
  <c r="J65" i="3"/>
  <c r="L65" i="3" s="1"/>
  <c r="N103" i="3"/>
  <c r="K139" i="3"/>
  <c r="N37" i="3"/>
  <c r="J127" i="3"/>
  <c r="L127" i="3" s="1"/>
  <c r="J21" i="3"/>
  <c r="L21" i="3" s="1"/>
  <c r="N10" i="3"/>
  <c r="J121" i="3"/>
  <c r="L121" i="3" s="1"/>
  <c r="N85" i="3"/>
  <c r="J50" i="3"/>
  <c r="L50" i="3" s="1"/>
  <c r="K17" i="3"/>
  <c r="J92" i="3"/>
  <c r="L92" i="3" s="1"/>
  <c r="K60" i="3"/>
  <c r="J19" i="3"/>
  <c r="L19" i="3" s="1"/>
  <c r="J25" i="3"/>
  <c r="L25" i="3" s="1"/>
  <c r="K104" i="3"/>
  <c r="K71" i="3"/>
  <c r="J70" i="3"/>
  <c r="L70" i="3" s="1"/>
  <c r="N108" i="3"/>
  <c r="K102" i="3"/>
  <c r="K126" i="3"/>
  <c r="N68" i="3"/>
  <c r="N141" i="3"/>
  <c r="K108" i="3"/>
  <c r="J58" i="3"/>
  <c r="L58" i="3" s="1"/>
  <c r="K69" i="3"/>
  <c r="J68" i="3"/>
  <c r="L68" i="3" s="1"/>
  <c r="J31" i="3"/>
  <c r="L31" i="3" s="1"/>
  <c r="K34" i="3"/>
  <c r="K113" i="3"/>
  <c r="M113" i="3" s="1"/>
  <c r="J76" i="3"/>
  <c r="L76" i="3" s="1"/>
  <c r="J24" i="3"/>
  <c r="L24" i="3" s="1"/>
  <c r="K88" i="3"/>
  <c r="N140" i="3"/>
  <c r="K110" i="3"/>
  <c r="K135" i="3"/>
  <c r="N116" i="3"/>
  <c r="N42" i="3"/>
  <c r="N64" i="3"/>
  <c r="J15" i="3"/>
  <c r="L15" i="3" s="1"/>
  <c r="N95" i="3"/>
  <c r="K112" i="3"/>
  <c r="K16" i="3"/>
  <c r="K72" i="3"/>
  <c r="J71" i="3"/>
  <c r="L71" i="3" s="1"/>
  <c r="J35" i="3"/>
  <c r="L35" i="3" s="1"/>
  <c r="J41" i="3"/>
  <c r="L41" i="3" s="1"/>
  <c r="J126" i="3"/>
  <c r="L126" i="3" s="1"/>
  <c r="J85" i="3"/>
  <c r="L85" i="3" s="1"/>
  <c r="J28" i="3"/>
  <c r="L28" i="3" s="1"/>
  <c r="J119" i="3"/>
  <c r="L119" i="3" s="1"/>
  <c r="J137" i="3"/>
  <c r="L137" i="3" s="1"/>
  <c r="K114" i="3"/>
  <c r="N50" i="3"/>
  <c r="N72" i="3"/>
  <c r="K96" i="3"/>
  <c r="J133" i="3"/>
  <c r="L133" i="3" s="1"/>
  <c r="K48" i="3"/>
  <c r="M48" i="3" s="1"/>
  <c r="J51" i="3"/>
  <c r="L51" i="3" s="1"/>
  <c r="J89" i="3"/>
  <c r="L89" i="3" s="1"/>
  <c r="J111" i="3"/>
  <c r="L111" i="3" s="1"/>
  <c r="K58" i="3"/>
  <c r="J53" i="3"/>
  <c r="L53" i="3" s="1"/>
  <c r="J34" i="3"/>
  <c r="L34" i="3" s="1"/>
  <c r="J129" i="3"/>
  <c r="L129" i="3" s="1"/>
  <c r="K37" i="3"/>
  <c r="N59" i="3"/>
  <c r="N29" i="3"/>
  <c r="N24" i="3"/>
  <c r="N71" i="3"/>
  <c r="K130" i="3"/>
  <c r="N98" i="3"/>
  <c r="N128" i="3"/>
  <c r="K61" i="3"/>
  <c r="K52" i="3"/>
  <c r="M52" i="3" s="1"/>
  <c r="J99" i="3"/>
  <c r="L99" i="3" s="1"/>
  <c r="K118" i="3"/>
  <c r="K81" i="3"/>
  <c r="J56" i="3"/>
  <c r="L56" i="3" s="1"/>
  <c r="K35" i="3"/>
  <c r="M35" i="3" s="1"/>
  <c r="J136" i="3"/>
  <c r="L136" i="3" s="1"/>
  <c r="J44" i="3"/>
  <c r="L44" i="3" s="1"/>
  <c r="N113" i="3"/>
  <c r="N49" i="3"/>
  <c r="N53" i="3"/>
  <c r="N75" i="3"/>
  <c r="J132" i="3"/>
  <c r="L132" i="3" s="1"/>
  <c r="N114" i="3"/>
  <c r="N136" i="3"/>
  <c r="J81" i="3"/>
  <c r="L81" i="3" s="1"/>
  <c r="K64" i="3"/>
  <c r="J10" i="3"/>
  <c r="L10" i="3" s="1"/>
  <c r="K100" i="3"/>
  <c r="K51" i="3"/>
  <c r="J104" i="3"/>
  <c r="L104" i="3" s="1"/>
  <c r="K66" i="3"/>
  <c r="N28" i="3"/>
  <c r="K20" i="3"/>
  <c r="J18" i="3"/>
  <c r="L18" i="3" s="1"/>
  <c r="K26" i="3"/>
  <c r="J62" i="3"/>
  <c r="L62" i="3" s="1"/>
  <c r="K111" i="3"/>
  <c r="M111" i="3" s="1"/>
  <c r="K47" i="3"/>
  <c r="K74" i="3"/>
  <c r="N134" i="3"/>
  <c r="J20" i="3"/>
  <c r="L20" i="3" s="1"/>
  <c r="K45" i="3"/>
  <c r="K85" i="3"/>
  <c r="M85" i="3" s="1"/>
  <c r="J131" i="3"/>
  <c r="L131" i="3" s="1"/>
  <c r="N124" i="3"/>
  <c r="N67" i="3"/>
  <c r="J105" i="3"/>
  <c r="L105" i="3" s="1"/>
  <c r="N60" i="3"/>
  <c r="J130" i="3"/>
  <c r="L130" i="3" s="1"/>
  <c r="N89" i="3"/>
  <c r="N84" i="3"/>
  <c r="K137" i="3"/>
  <c r="N111" i="3"/>
  <c r="N122" i="3"/>
  <c r="N56" i="3"/>
  <c r="N83" i="3"/>
  <c r="N76" i="3"/>
  <c r="J27" i="3"/>
  <c r="L27" i="3" s="1"/>
  <c r="J123" i="3"/>
  <c r="L123" i="3" s="1"/>
  <c r="J87" i="3"/>
  <c r="L87" i="3" s="1"/>
  <c r="J42" i="3"/>
  <c r="L42" i="3" s="1"/>
  <c r="K83" i="3"/>
  <c r="K22" i="3"/>
  <c r="J60" i="3"/>
  <c r="L60" i="3" s="1"/>
  <c r="K53" i="3"/>
  <c r="N26" i="3"/>
  <c r="N19" i="3"/>
  <c r="K79" i="3"/>
  <c r="K105" i="3"/>
  <c r="J14" i="3"/>
  <c r="L14" i="3" s="1"/>
  <c r="K75" i="3"/>
  <c r="M75" i="3" s="1"/>
  <c r="K89" i="3"/>
  <c r="J107" i="3"/>
  <c r="L107" i="3" s="1"/>
  <c r="J45" i="3"/>
  <c r="L45" i="3" s="1"/>
  <c r="N55" i="3"/>
  <c r="K101" i="3"/>
  <c r="K29" i="3"/>
  <c r="J122" i="3"/>
  <c r="L122" i="3" s="1"/>
  <c r="K138" i="3"/>
  <c r="N135" i="3"/>
  <c r="K124" i="3"/>
  <c r="N126" i="3"/>
  <c r="J139" i="3"/>
  <c r="L139" i="3" s="1"/>
  <c r="J116" i="3"/>
  <c r="L116" i="3" s="1"/>
  <c r="N33" i="3"/>
  <c r="N58" i="3"/>
  <c r="N101" i="3"/>
  <c r="N88" i="3"/>
  <c r="N123" i="3"/>
  <c r="J84" i="3"/>
  <c r="L84" i="3" s="1"/>
  <c r="K24" i="3"/>
  <c r="N23" i="3"/>
  <c r="J39" i="3"/>
  <c r="L39" i="3" s="1"/>
  <c r="K15" i="3"/>
  <c r="J83" i="3"/>
  <c r="L83" i="3" s="1"/>
  <c r="K125" i="3"/>
  <c r="K92" i="3"/>
  <c r="J100" i="3"/>
  <c r="L100" i="3" s="1"/>
  <c r="K122" i="3"/>
  <c r="K43" i="3"/>
  <c r="J49" i="3"/>
  <c r="L49" i="3" s="1"/>
  <c r="K86" i="3"/>
  <c r="N129" i="3"/>
  <c r="K30" i="3"/>
  <c r="J103" i="3"/>
  <c r="L103" i="3" s="1"/>
  <c r="J63" i="3"/>
  <c r="L63" i="3" s="1"/>
  <c r="K33" i="3"/>
  <c r="K56" i="3"/>
  <c r="J124" i="3"/>
  <c r="L124" i="3" s="1"/>
  <c r="N52" i="3"/>
  <c r="J140" i="3"/>
  <c r="L140" i="3" s="1"/>
  <c r="K94" i="3"/>
  <c r="K140" i="3"/>
  <c r="J114" i="3"/>
  <c r="L114" i="3" s="1"/>
  <c r="N27" i="3"/>
  <c r="N30" i="3"/>
  <c r="J118" i="3"/>
  <c r="L118" i="3" s="1"/>
  <c r="N47" i="3"/>
  <c r="N74" i="3"/>
  <c r="N109" i="3"/>
  <c r="N96" i="3"/>
  <c r="N139" i="3"/>
  <c r="J95" i="3"/>
  <c r="L95" i="3" s="1"/>
  <c r="K36" i="3"/>
  <c r="J69" i="3"/>
  <c r="L69" i="3" s="1"/>
  <c r="J43" i="3"/>
  <c r="L43" i="3" s="1"/>
  <c r="J26" i="3"/>
  <c r="L26" i="3" s="1"/>
  <c r="J86" i="3"/>
  <c r="L86" i="3" s="1"/>
  <c r="N15" i="3"/>
  <c r="J94" i="3"/>
  <c r="L94" i="3" s="1"/>
  <c r="K103" i="3"/>
  <c r="M103" i="3" s="1"/>
  <c r="J138" i="3"/>
  <c r="L138" i="3" s="1"/>
  <c r="J57" i="3"/>
  <c r="L57" i="3" s="1"/>
  <c r="K50" i="3"/>
  <c r="J96" i="3"/>
  <c r="L96" i="3" s="1"/>
  <c r="J22" i="3"/>
  <c r="L22" i="3" s="1"/>
  <c r="K38" i="3"/>
  <c r="K116" i="3"/>
  <c r="J12" i="3"/>
  <c r="L12" i="3" s="1"/>
  <c r="J36" i="3"/>
  <c r="L36" i="3" s="1"/>
  <c r="J64" i="3"/>
  <c r="L64" i="3" s="1"/>
  <c r="K141" i="3"/>
  <c r="N70" i="3"/>
  <c r="N21" i="3"/>
  <c r="J97" i="3"/>
  <c r="L97" i="3" s="1"/>
  <c r="N16" i="3"/>
  <c r="K119" i="3"/>
  <c r="M119" i="3" s="1"/>
  <c r="N39" i="3"/>
  <c r="N36" i="3"/>
  <c r="K123" i="3"/>
  <c r="N51" i="3"/>
  <c r="N82" i="3"/>
  <c r="N125" i="3"/>
  <c r="N104" i="3"/>
  <c r="J55" i="3"/>
  <c r="L55" i="3" s="1"/>
  <c r="K67" i="3"/>
  <c r="J47" i="3"/>
  <c r="L47" i="3" s="1"/>
  <c r="J117" i="3"/>
  <c r="L117" i="3" s="1"/>
  <c r="N118" i="3"/>
  <c r="K95" i="3"/>
  <c r="K27" i="3"/>
  <c r="J80" i="3"/>
  <c r="L80" i="3" s="1"/>
  <c r="K115" i="3"/>
  <c r="K63" i="3"/>
  <c r="K109" i="3"/>
  <c r="K93" i="3"/>
  <c r="K32" i="3"/>
  <c r="J115" i="3"/>
  <c r="L115" i="3" s="1"/>
  <c r="J17" i="3"/>
  <c r="L17" i="3" s="1"/>
  <c r="K46" i="3"/>
  <c r="K77" i="3"/>
  <c r="J106" i="3"/>
  <c r="L106" i="3" s="1"/>
  <c r="K23" i="3"/>
  <c r="J29" i="3"/>
  <c r="L29" i="3" s="1"/>
  <c r="J79" i="3"/>
  <c r="L79" i="3" s="1"/>
  <c r="N44" i="3"/>
  <c r="K13" i="3"/>
  <c r="J32" i="3"/>
  <c r="L32" i="3" s="1"/>
  <c r="K49" i="3"/>
  <c r="J73" i="3"/>
  <c r="L73" i="3" s="1"/>
  <c r="N31" i="3"/>
  <c r="N38" i="3"/>
  <c r="K131" i="3"/>
  <c r="M131" i="3" s="1"/>
  <c r="N63" i="3"/>
  <c r="K98" i="3"/>
  <c r="J135" i="3"/>
  <c r="L135" i="3" s="1"/>
  <c r="N94" i="3"/>
  <c r="J128" i="3"/>
  <c r="L128" i="3" s="1"/>
  <c r="N43" i="3"/>
  <c r="N22" i="3"/>
  <c r="N132" i="3"/>
  <c r="J134" i="3"/>
  <c r="L134" i="3" s="1"/>
  <c r="N65" i="3"/>
  <c r="N66" i="3"/>
  <c r="N138" i="3"/>
  <c r="N40" i="3"/>
  <c r="N120" i="3"/>
  <c r="N131" i="3"/>
  <c r="J90" i="3"/>
  <c r="L90" i="3" s="1"/>
  <c r="N62" i="3"/>
  <c r="K70" i="3"/>
  <c r="M70" i="3" s="1"/>
  <c r="K90" i="3"/>
  <c r="K40" i="3"/>
  <c r="K11" i="3"/>
  <c r="J54" i="3"/>
  <c r="L54" i="3" s="1"/>
  <c r="K97" i="3"/>
  <c r="K128" i="3"/>
  <c r="M128" i="3" s="1"/>
  <c r="J74" i="3"/>
  <c r="L74" i="3" s="1"/>
  <c r="N86" i="3"/>
  <c r="N12" i="3"/>
  <c r="K127" i="3"/>
  <c r="K31" i="3"/>
  <c r="J33" i="3"/>
  <c r="L33" i="3" s="1"/>
  <c r="K54" i="3"/>
  <c r="M54" i="3" s="1"/>
  <c r="J88" i="3"/>
  <c r="L88" i="3" s="1"/>
  <c r="N41" i="3"/>
  <c r="J13" i="3"/>
  <c r="L13" i="3" s="1"/>
  <c r="K68" i="3"/>
  <c r="M68" i="3" s="1"/>
  <c r="J108" i="3"/>
  <c r="L108" i="3" s="1"/>
  <c r="K55" i="3"/>
  <c r="K21" i="3"/>
  <c r="M21" i="3" s="1"/>
  <c r="J40" i="3"/>
  <c r="L40" i="3" s="1"/>
  <c r="K62" i="3"/>
  <c r="M62" i="3" s="1"/>
  <c r="J98" i="3"/>
  <c r="L98" i="3" s="1"/>
  <c r="K136" i="3"/>
  <c r="M136" i="3" s="1"/>
  <c r="N92" i="3"/>
  <c r="N13" i="3"/>
  <c r="N119" i="3"/>
  <c r="K106" i="3"/>
  <c r="M106" i="3" s="1"/>
  <c r="N46" i="3"/>
  <c r="K117" i="3"/>
  <c r="M117" i="3" s="1"/>
  <c r="N11" i="3"/>
  <c r="N105" i="3"/>
  <c r="N61" i="3"/>
  <c r="K121" i="3"/>
  <c r="N17" i="3"/>
  <c r="N34" i="3"/>
  <c r="N106" i="3"/>
  <c r="N117" i="3"/>
  <c r="N80" i="3"/>
  <c r="N91" i="3"/>
  <c r="J61" i="3"/>
  <c r="L61" i="3" s="1"/>
  <c r="K12" i="3"/>
  <c r="M12" i="3" s="1"/>
  <c r="J23" i="3"/>
  <c r="L23" i="3" s="1"/>
  <c r="J72" i="3"/>
  <c r="L72" i="3" s="1"/>
  <c r="K87" i="3"/>
  <c r="M87" i="3" s="1"/>
  <c r="K28" i="3"/>
  <c r="J102" i="3"/>
  <c r="L102" i="3" s="1"/>
  <c r="J38" i="3"/>
  <c r="L38" i="3" s="1"/>
  <c r="K78" i="3"/>
  <c r="K107" i="3"/>
  <c r="M107" i="3" s="1"/>
  <c r="N81" i="3"/>
  <c r="J77" i="3"/>
  <c r="L77" i="3" s="1"/>
  <c r="N69" i="3"/>
  <c r="J110" i="3"/>
  <c r="L110" i="3" s="1"/>
  <c r="K44" i="3"/>
  <c r="J120" i="3"/>
  <c r="L120" i="3" s="1"/>
  <c r="K10" i="3"/>
  <c r="K42" i="3"/>
  <c r="J59" i="3"/>
  <c r="L59" i="3" s="1"/>
  <c r="J91" i="3"/>
  <c r="L91" i="3" s="1"/>
  <c r="K132" i="3"/>
  <c r="M132" i="3" s="1"/>
  <c r="J46" i="3"/>
  <c r="L46" i="3" s="1"/>
  <c r="J37" i="3"/>
  <c r="L37" i="3" s="1"/>
  <c r="J82" i="3"/>
  <c r="L82" i="3" s="1"/>
  <c r="N20" i="3"/>
  <c r="J66" i="3"/>
  <c r="L66" i="3" s="1"/>
  <c r="K25" i="3"/>
  <c r="K41" i="3"/>
  <c r="K59" i="3"/>
  <c r="M59" i="3" s="1"/>
  <c r="K91" i="3"/>
  <c r="M91" i="3" s="1"/>
  <c r="N73" i="3"/>
  <c r="N45" i="3"/>
  <c r="K129" i="3"/>
  <c r="M129" i="3" s="1"/>
  <c r="N35" i="3"/>
  <c r="J93" i="3"/>
  <c r="L93" i="3" s="1"/>
  <c r="J109" i="3"/>
  <c r="L109" i="3" s="1"/>
  <c r="N32" i="3"/>
  <c r="J112" i="3"/>
  <c r="L112" i="3" s="1"/>
  <c r="K133" i="3"/>
  <c r="M133" i="3" s="1"/>
  <c r="N57" i="3"/>
  <c r="N14" i="3"/>
  <c r="N100" i="3"/>
  <c r="J125" i="3"/>
  <c r="L125" i="3" s="1"/>
  <c r="N25" i="3"/>
  <c r="N127" i="3"/>
  <c r="N90" i="3"/>
  <c r="N93" i="3"/>
  <c r="N48" i="3"/>
  <c r="N112" i="3"/>
  <c r="N115" i="3"/>
  <c r="O102" i="3" a="1"/>
  <c r="O137" i="3" a="1"/>
  <c r="O85" i="3" a="1"/>
  <c r="O95" i="3" a="1"/>
  <c r="O128" i="3" a="1"/>
  <c r="O136" i="3" a="1"/>
  <c r="O28" i="3" a="1"/>
  <c r="O134" i="3" a="1"/>
  <c r="O60" i="3" a="1"/>
  <c r="O83" i="3" a="1"/>
  <c r="O135" i="3" a="1"/>
  <c r="O88" i="3" a="1"/>
  <c r="O109" i="3" a="1"/>
  <c r="O21" i="3" a="1"/>
  <c r="O82" i="3" a="1"/>
  <c r="O44" i="3" a="1"/>
  <c r="O63" i="3" a="1"/>
  <c r="O62" i="3" a="1"/>
  <c r="O41" i="3" a="1"/>
  <c r="O11" i="3" a="1"/>
  <c r="O80" i="3" a="1"/>
  <c r="O73" i="3" a="1"/>
  <c r="O99" i="3" a="1"/>
  <c r="O103" i="3" a="1"/>
  <c r="O140" i="3" a="1"/>
  <c r="O76" i="3" a="1"/>
  <c r="O123" i="3" a="1"/>
  <c r="O96" i="3" a="1"/>
  <c r="O15" i="3" a="1"/>
  <c r="O125" i="3" a="1"/>
  <c r="O65" i="3" a="1"/>
  <c r="O86" i="3" a="1"/>
  <c r="O105" i="3" a="1"/>
  <c r="O91" i="3" a="1"/>
  <c r="O45" i="3" a="1"/>
  <c r="O57" i="3" a="1"/>
  <c r="O48" i="3" a="1"/>
  <c r="O112" i="3" a="1"/>
  <c r="O110" i="3" a="1"/>
  <c r="O24" i="3" a="1"/>
  <c r="O30" i="3" a="1"/>
  <c r="O40" i="3" a="1"/>
  <c r="O81" i="3" a="1"/>
  <c r="O75" i="3" a="1"/>
  <c r="O31" i="3" a="1"/>
  <c r="O34" i="3" a="1"/>
  <c r="O64" i="3" a="1"/>
  <c r="O117" i="3" a="1"/>
  <c r="O78" i="3" a="1"/>
  <c r="O108" i="3" a="1"/>
  <c r="O59" i="3" a="1"/>
  <c r="O113" i="3" a="1"/>
  <c r="O89" i="3" a="1"/>
  <c r="O26" i="3" a="1"/>
  <c r="O126" i="3" a="1"/>
  <c r="O139" i="3" a="1"/>
  <c r="O16" i="3" a="1"/>
  <c r="O104" i="3" a="1"/>
  <c r="O66" i="3" a="1"/>
  <c r="O12" i="3" a="1"/>
  <c r="O92" i="3" a="1"/>
  <c r="O61" i="3" a="1"/>
  <c r="O20" i="3" a="1"/>
  <c r="O14" i="3" a="1"/>
  <c r="O121" i="3" a="1"/>
  <c r="O97" i="3" a="1"/>
  <c r="O79" i="3" a="1"/>
  <c r="O37" i="3" a="1"/>
  <c r="O29" i="3" a="1"/>
  <c r="O49" i="3" a="1"/>
  <c r="O84" i="3" a="1"/>
  <c r="O19" i="3" a="1"/>
  <c r="O55" i="3" a="1"/>
  <c r="O27" i="3" a="1"/>
  <c r="O94" i="3" a="1"/>
  <c r="O138" i="3" a="1"/>
  <c r="O13" i="3" a="1"/>
  <c r="O35" i="3" a="1"/>
  <c r="O100" i="3" a="1"/>
  <c r="O115" i="3" a="1"/>
  <c r="O133" i="3" a="1"/>
  <c r="O116" i="3" a="1"/>
  <c r="O53" i="3" a="1"/>
  <c r="O23" i="3" a="1"/>
  <c r="O17" i="3" a="1"/>
  <c r="O111" i="3" a="1"/>
  <c r="O43" i="3" a="1"/>
  <c r="O18" i="3" a="1"/>
  <c r="O72" i="3" a="1"/>
  <c r="O122" i="3" a="1"/>
  <c r="O47" i="3" a="1"/>
  <c r="O131" i="3" a="1"/>
  <c r="O46" i="3" a="1"/>
  <c r="O32" i="3" a="1"/>
  <c r="O114" i="3" a="1"/>
  <c r="O56" i="3" a="1"/>
  <c r="O70" i="3" a="1"/>
  <c r="O132" i="3" a="1"/>
  <c r="O93" i="3" a="1"/>
  <c r="O107" i="3" a="1"/>
  <c r="O39" i="3" a="1"/>
  <c r="O119" i="3" a="1"/>
  <c r="O36" i="3" a="1"/>
  <c r="O25" i="3" a="1"/>
  <c r="O54" i="3" a="1"/>
  <c r="O67" i="3" a="1"/>
  <c r="O52" i="3" a="1"/>
  <c r="O22" i="3" a="1"/>
  <c r="O69" i="3" a="1"/>
  <c r="O98" i="3" a="1"/>
  <c r="O129" i="3" a="1"/>
  <c r="O51" i="3" a="1"/>
  <c r="O90" i="3" a="1"/>
  <c r="O87" i="3" a="1"/>
  <c r="O130" i="3" a="1"/>
  <c r="O68" i="3" a="1"/>
  <c r="O42" i="3" a="1"/>
  <c r="O50" i="3" a="1"/>
  <c r="O71" i="3" a="1"/>
  <c r="O124" i="3" a="1"/>
  <c r="O33" i="3" a="1"/>
  <c r="O120" i="3" a="1"/>
  <c r="O141" i="3" a="1"/>
  <c r="O58" i="3" a="1"/>
  <c r="O38" i="3" a="1"/>
  <c r="O106" i="3" a="1"/>
  <c r="O127" i="3" a="1"/>
  <c r="O77" i="3" a="1"/>
  <c r="O101" i="3" a="1"/>
  <c r="O74" i="3" a="1"/>
  <c r="O118" i="3" a="1"/>
  <c r="M92" i="3" l="1"/>
  <c r="M95" i="3"/>
  <c r="M28" i="3"/>
  <c r="M32" i="3"/>
  <c r="M138" i="3"/>
  <c r="M22" i="3"/>
  <c r="M74" i="3"/>
  <c r="M66" i="3"/>
  <c r="M108" i="3"/>
  <c r="M104" i="3"/>
  <c r="M120" i="3"/>
  <c r="M76" i="3"/>
  <c r="M57" i="3"/>
  <c r="M27" i="3"/>
  <c r="M97" i="3"/>
  <c r="M93" i="3"/>
  <c r="M123" i="3"/>
  <c r="M141" i="3"/>
  <c r="M50" i="3"/>
  <c r="M86" i="3"/>
  <c r="M47" i="3"/>
  <c r="M130" i="3"/>
  <c r="M134" i="3"/>
  <c r="M89" i="3"/>
  <c r="M23" i="3"/>
  <c r="M51" i="3"/>
  <c r="M81" i="3"/>
  <c r="M58" i="3"/>
  <c r="M10" i="3"/>
  <c r="M44" i="3"/>
  <c r="M55" i="3"/>
  <c r="M31" i="3"/>
  <c r="M63" i="3"/>
  <c r="M67" i="3"/>
  <c r="M101" i="3"/>
  <c r="M137" i="3"/>
  <c r="M100" i="3"/>
  <c r="M114" i="3"/>
  <c r="M60" i="3"/>
  <c r="M18" i="3"/>
  <c r="O118" i="3"/>
  <c r="O74" i="3"/>
  <c r="O101" i="3"/>
  <c r="O77" i="3"/>
  <c r="O127" i="3"/>
  <c r="O106" i="3"/>
  <c r="O38" i="3"/>
  <c r="O58" i="3"/>
  <c r="O141" i="3"/>
  <c r="O120" i="3"/>
  <c r="O33" i="3"/>
  <c r="O124" i="3"/>
  <c r="O71" i="3"/>
  <c r="O50" i="3"/>
  <c r="O42" i="3"/>
  <c r="O68" i="3"/>
  <c r="O130" i="3"/>
  <c r="O87" i="3"/>
  <c r="O90" i="3"/>
  <c r="O51" i="3"/>
  <c r="O129" i="3"/>
  <c r="O98" i="3"/>
  <c r="O69" i="3"/>
  <c r="O22" i="3"/>
  <c r="O52" i="3"/>
  <c r="O67" i="3"/>
  <c r="O54" i="3"/>
  <c r="O25" i="3"/>
  <c r="O36" i="3"/>
  <c r="O119" i="3"/>
  <c r="O39" i="3"/>
  <c r="O107" i="3"/>
  <c r="O93" i="3"/>
  <c r="O132" i="3"/>
  <c r="O70" i="3"/>
  <c r="O56" i="3"/>
  <c r="O114" i="3"/>
  <c r="O32" i="3"/>
  <c r="O46" i="3"/>
  <c r="O131" i="3"/>
  <c r="O47" i="3"/>
  <c r="O122" i="3"/>
  <c r="O72" i="3"/>
  <c r="O18" i="3"/>
  <c r="O43" i="3"/>
  <c r="O111" i="3"/>
  <c r="O17" i="3"/>
  <c r="O23" i="3"/>
  <c r="O53" i="3"/>
  <c r="O116" i="3"/>
  <c r="O133" i="3"/>
  <c r="O115" i="3"/>
  <c r="O100" i="3"/>
  <c r="O35" i="3"/>
  <c r="O13" i="3"/>
  <c r="O138" i="3"/>
  <c r="O94" i="3"/>
  <c r="O27" i="3"/>
  <c r="O55" i="3"/>
  <c r="O19" i="3"/>
  <c r="O84" i="3"/>
  <c r="O49" i="3"/>
  <c r="O29" i="3"/>
  <c r="O37" i="3"/>
  <c r="O79" i="3"/>
  <c r="O97" i="3"/>
  <c r="O121" i="3"/>
  <c r="O14" i="3"/>
  <c r="O20" i="3"/>
  <c r="O61" i="3"/>
  <c r="O92" i="3"/>
  <c r="O12" i="3"/>
  <c r="O66" i="3"/>
  <c r="O104" i="3"/>
  <c r="O16" i="3"/>
  <c r="O139" i="3"/>
  <c r="O126" i="3"/>
  <c r="O26" i="3"/>
  <c r="O89" i="3"/>
  <c r="O113" i="3"/>
  <c r="O59" i="3"/>
  <c r="O108" i="3"/>
  <c r="O78" i="3"/>
  <c r="O117" i="3"/>
  <c r="O64" i="3"/>
  <c r="O34" i="3"/>
  <c r="O31" i="3"/>
  <c r="O75" i="3"/>
  <c r="O81" i="3"/>
  <c r="O40" i="3"/>
  <c r="O30" i="3"/>
  <c r="O24" i="3"/>
  <c r="O110" i="3"/>
  <c r="O112" i="3"/>
  <c r="O48" i="3"/>
  <c r="O57" i="3"/>
  <c r="O45" i="3"/>
  <c r="O91" i="3"/>
  <c r="O105" i="3"/>
  <c r="O86" i="3"/>
  <c r="O65" i="3"/>
  <c r="O125" i="3"/>
  <c r="O15" i="3"/>
  <c r="O96" i="3"/>
  <c r="O123" i="3"/>
  <c r="O76" i="3"/>
  <c r="O140" i="3"/>
  <c r="O103" i="3"/>
  <c r="O99" i="3"/>
  <c r="O73" i="3"/>
  <c r="O80" i="3"/>
  <c r="O11" i="3"/>
  <c r="O41" i="3"/>
  <c r="O62" i="3"/>
  <c r="O63" i="3"/>
  <c r="O44" i="3"/>
  <c r="O82" i="3"/>
  <c r="O21" i="3"/>
  <c r="O109" i="3"/>
  <c r="O88" i="3"/>
  <c r="O135" i="3"/>
  <c r="O83" i="3"/>
  <c r="O60" i="3"/>
  <c r="O134" i="3"/>
  <c r="O28" i="3"/>
  <c r="O136" i="3"/>
  <c r="O128" i="3"/>
  <c r="O95" i="3"/>
  <c r="O85" i="3"/>
  <c r="O137" i="3"/>
  <c r="O102" i="3"/>
  <c r="M83" i="3"/>
  <c r="M96" i="3"/>
  <c r="M15" i="3"/>
  <c r="M29" i="3"/>
  <c r="M105" i="3"/>
  <c r="M11" i="3"/>
  <c r="M36" i="3"/>
  <c r="M43" i="3"/>
  <c r="M79" i="3"/>
  <c r="M41" i="3"/>
  <c r="M25" i="3"/>
  <c r="M118" i="3"/>
  <c r="M34" i="3"/>
  <c r="M126" i="3"/>
  <c r="M39" i="3"/>
  <c r="M42" i="3"/>
  <c r="M121" i="3"/>
  <c r="M127" i="3"/>
  <c r="M40" i="3"/>
  <c r="M49" i="3"/>
  <c r="M77" i="3"/>
  <c r="M115" i="3"/>
  <c r="M33" i="3"/>
  <c r="M122" i="3"/>
  <c r="M24" i="3"/>
  <c r="M26" i="3"/>
  <c r="L142" i="3"/>
  <c r="M72" i="3"/>
  <c r="M135" i="3"/>
  <c r="M102" i="3"/>
  <c r="M78" i="3"/>
  <c r="M90" i="3"/>
  <c r="M46" i="3"/>
  <c r="M116" i="3"/>
  <c r="M45" i="3"/>
  <c r="M64" i="3"/>
  <c r="M16" i="3"/>
  <c r="M110" i="3"/>
  <c r="M17" i="3"/>
  <c r="M139" i="3"/>
  <c r="M14" i="3"/>
  <c r="M73" i="3"/>
  <c r="M65" i="3"/>
  <c r="N142" i="3"/>
  <c r="M109" i="3"/>
  <c r="M56" i="3"/>
  <c r="M98" i="3"/>
  <c r="M13" i="3"/>
  <c r="M38" i="3"/>
  <c r="M140" i="3"/>
  <c r="M124" i="3"/>
  <c r="M53" i="3"/>
  <c r="M20" i="3"/>
  <c r="M61" i="3"/>
  <c r="M37" i="3"/>
  <c r="M112" i="3"/>
  <c r="M69" i="3"/>
  <c r="M82" i="3"/>
  <c r="M19" i="3"/>
  <c r="M94" i="3"/>
  <c r="M30" i="3"/>
  <c r="M125" i="3"/>
  <c r="M88" i="3"/>
  <c r="M71" i="3"/>
  <c r="M84" i="3"/>
  <c r="M99" i="3"/>
  <c r="M80" i="3"/>
  <c r="O10" i="3" a="1"/>
  <c r="B48" i="4" l="1"/>
  <c r="C43" i="4"/>
  <c r="B47" i="4"/>
  <c r="B40" i="4"/>
  <c r="E48" i="4"/>
  <c r="B46" i="4"/>
  <c r="B41" i="4"/>
  <c r="C41" i="4"/>
  <c r="D40" i="4"/>
  <c r="C49" i="4"/>
  <c r="D47" i="4"/>
  <c r="D45" i="4"/>
  <c r="E44" i="4"/>
  <c r="E46" i="4"/>
  <c r="D48" i="4"/>
  <c r="B42" i="4"/>
  <c r="C44" i="4"/>
  <c r="D49" i="4"/>
  <c r="B44" i="4"/>
  <c r="E43" i="4"/>
  <c r="C47" i="4"/>
  <c r="C48" i="4"/>
  <c r="D36" i="4"/>
  <c r="D41" i="4"/>
  <c r="D46" i="4"/>
  <c r="D43" i="4"/>
  <c r="D42" i="4"/>
  <c r="E47" i="4"/>
  <c r="E41" i="4"/>
  <c r="B43" i="4"/>
  <c r="C40" i="4"/>
  <c r="C46" i="4"/>
  <c r="D44" i="4"/>
  <c r="E42" i="4"/>
  <c r="C42" i="4"/>
  <c r="C45" i="4"/>
  <c r="B45" i="4"/>
  <c r="B49" i="4"/>
  <c r="E45" i="4"/>
  <c r="D12" i="4"/>
  <c r="M142" i="3"/>
  <c r="J147" i="3" s="1"/>
  <c r="O10" i="3"/>
  <c r="O142" i="3" s="1"/>
  <c r="J148" i="3" s="1" a="1"/>
  <c r="J148" i="3" s="1"/>
  <c r="J149" i="3" a="1"/>
  <c r="E24" i="4" a="1"/>
  <c r="E25" i="4" a="1"/>
  <c r="E30" i="4" a="1"/>
  <c r="E26" i="4" a="1"/>
  <c r="E27" i="4" a="1"/>
  <c r="E28" i="4" a="1"/>
  <c r="D17" i="4" a="1"/>
  <c r="E29" i="4" a="1"/>
  <c r="D24" i="4" a="1"/>
  <c r="D87" i="4" a="1"/>
  <c r="D93" i="4" a="1"/>
  <c r="D94" i="4" a="1"/>
  <c r="D97" i="4" a="1"/>
  <c r="D64" i="4" a="1"/>
  <c r="D80" i="4" a="1"/>
  <c r="D96" i="4" a="1"/>
  <c r="D16" i="4" a="1"/>
  <c r="D81" i="4" a="1"/>
  <c r="D61" i="4" a="1"/>
  <c r="D75" i="4" a="1"/>
  <c r="D95" i="4" a="1"/>
  <c r="D83" i="4" a="1"/>
  <c r="D69" i="4" a="1"/>
  <c r="D101" i="4" a="1"/>
  <c r="D66" i="4" a="1"/>
  <c r="D82" i="4" a="1"/>
  <c r="D98" i="4" a="1"/>
  <c r="D25" i="4" a="1"/>
  <c r="D103" i="4" a="1"/>
  <c r="D88" i="4" a="1"/>
  <c r="D14" i="4" a="1"/>
  <c r="D85" i="4" a="1"/>
  <c r="D28" i="4" a="1"/>
  <c r="D74" i="4" a="1"/>
  <c r="D90" i="4" a="1"/>
  <c r="D106" i="4" a="1"/>
  <c r="B6" i="4" a="1"/>
  <c r="D89" i="4" a="1"/>
  <c r="D76" i="4" a="1"/>
  <c r="D65" i="4" a="1"/>
  <c r="D79" i="4" a="1"/>
  <c r="D91" i="4" a="1"/>
  <c r="D73" i="4" a="1"/>
  <c r="D105" i="4" a="1"/>
  <c r="D68" i="4" a="1"/>
  <c r="D84" i="4" a="1"/>
  <c r="D100" i="4" a="1"/>
  <c r="D27" i="4" a="1"/>
  <c r="D107" i="4" a="1"/>
  <c r="D72" i="4" a="1"/>
  <c r="D104" i="4" a="1"/>
  <c r="D35" i="4" a="1"/>
  <c r="D26" i="4" a="1"/>
  <c r="D30" i="4" a="1"/>
  <c r="D15" i="4" a="1"/>
  <c r="D92" i="4" a="1"/>
  <c r="D108" i="4" a="1"/>
  <c r="D67" i="4" a="1"/>
  <c r="D62" i="4" a="1"/>
  <c r="D78" i="4" a="1"/>
  <c r="D110" i="4" a="1"/>
  <c r="D63" i="4" a="1"/>
  <c r="D71" i="4" a="1"/>
  <c r="D99" i="4" a="1"/>
  <c r="D77" i="4" a="1"/>
  <c r="D109" i="4" a="1"/>
  <c r="D70" i="4" a="1"/>
  <c r="D86" i="4" a="1"/>
  <c r="D102" i="4" a="1"/>
  <c r="D29" i="4" a="1"/>
  <c r="E29" i="4" l="1"/>
  <c r="D17" i="4"/>
  <c r="E28" i="4"/>
  <c r="E27" i="4"/>
  <c r="E26" i="4"/>
  <c r="E30" i="4"/>
  <c r="E25" i="4"/>
  <c r="E24" i="4"/>
  <c r="J149" i="3"/>
  <c r="D13" i="4"/>
  <c r="E40" i="4"/>
  <c r="F49" i="4" s="1"/>
  <c r="E49" i="4"/>
  <c r="D29" i="4"/>
  <c r="F29" i="4" s="1"/>
  <c r="D102" i="4"/>
  <c r="D86" i="4"/>
  <c r="D70" i="4"/>
  <c r="D109" i="4"/>
  <c r="D77" i="4"/>
  <c r="D99" i="4"/>
  <c r="D71" i="4"/>
  <c r="D63" i="4"/>
  <c r="D110" i="4"/>
  <c r="D78" i="4"/>
  <c r="D62" i="4"/>
  <c r="D67" i="4"/>
  <c r="D108" i="4"/>
  <c r="D92" i="4"/>
  <c r="D15" i="4"/>
  <c r="D30" i="4"/>
  <c r="D26" i="4"/>
  <c r="D35" i="4"/>
  <c r="D104" i="4"/>
  <c r="D72" i="4"/>
  <c r="D107" i="4"/>
  <c r="D27" i="4"/>
  <c r="F27" i="4" s="1"/>
  <c r="D100" i="4"/>
  <c r="D84" i="4"/>
  <c r="D68" i="4"/>
  <c r="D105" i="4"/>
  <c r="D73" i="4"/>
  <c r="D91" i="4"/>
  <c r="D79" i="4"/>
  <c r="D65" i="4"/>
  <c r="D76" i="4"/>
  <c r="D89" i="4"/>
  <c r="B6" i="4"/>
  <c r="D106" i="4"/>
  <c r="D90" i="4"/>
  <c r="D74" i="4"/>
  <c r="D28" i="4"/>
  <c r="F28" i="4" s="1"/>
  <c r="D85" i="4"/>
  <c r="D14" i="4"/>
  <c r="D88" i="4"/>
  <c r="D103" i="4"/>
  <c r="D25" i="4"/>
  <c r="D98" i="4"/>
  <c r="D82" i="4"/>
  <c r="D66" i="4"/>
  <c r="D101" i="4"/>
  <c r="D69" i="4"/>
  <c r="D83" i="4"/>
  <c r="D95" i="4"/>
  <c r="D75" i="4"/>
  <c r="D61" i="4"/>
  <c r="D81" i="4"/>
  <c r="D16" i="4"/>
  <c r="D18" i="4" s="1"/>
  <c r="D96" i="4"/>
  <c r="D80" i="4"/>
  <c r="D64" i="4"/>
  <c r="D97" i="4"/>
  <c r="D94" i="4"/>
  <c r="D93" i="4"/>
  <c r="D87" i="4"/>
  <c r="D24" i="4"/>
  <c r="E75" i="4" a="1"/>
  <c r="E73" i="4" a="1"/>
  <c r="E105" i="4" a="1"/>
  <c r="E74" i="4" a="1"/>
  <c r="E90" i="4" a="1"/>
  <c r="E106" i="4" a="1"/>
  <c r="E94" i="4" a="1"/>
  <c r="E99" i="4" a="1"/>
  <c r="E87" i="4" a="1"/>
  <c r="E82" i="4" a="1"/>
  <c r="E93" i="4" a="1"/>
  <c r="E100" i="4" a="1"/>
  <c r="E86" i="4" a="1"/>
  <c r="E101" i="4" a="1"/>
  <c r="E104" i="4" a="1"/>
  <c r="E63" i="4" a="1"/>
  <c r="E83" i="4" a="1"/>
  <c r="E77" i="4" a="1"/>
  <c r="E109" i="4" a="1"/>
  <c r="E76" i="4" a="1"/>
  <c r="E92" i="4" a="1"/>
  <c r="E108" i="4" a="1"/>
  <c r="E110" i="4" a="1"/>
  <c r="E85" i="4" a="1"/>
  <c r="E96" i="4" a="1"/>
  <c r="E89" i="4" a="1"/>
  <c r="E68" i="4" a="1"/>
  <c r="E65" i="4" a="1"/>
  <c r="E102" i="4" a="1"/>
  <c r="E69" i="4" a="1"/>
  <c r="E71" i="4" a="1"/>
  <c r="E91" i="4" a="1"/>
  <c r="E81" i="4" a="1"/>
  <c r="E62" i="4" a="1"/>
  <c r="E78" i="4" a="1"/>
  <c r="E79" i="4" a="1"/>
  <c r="E64" i="4" a="1"/>
  <c r="E107" i="4" a="1"/>
  <c r="E98" i="4" a="1"/>
  <c r="E95" i="4" a="1"/>
  <c r="E103" i="4" a="1"/>
  <c r="E70" i="4" a="1"/>
  <c r="E67" i="4" a="1"/>
  <c r="E88" i="4" a="1"/>
  <c r="E80" i="4" a="1"/>
  <c r="E66" i="4" a="1"/>
  <c r="E61" i="4" a="1"/>
  <c r="E84" i="4" a="1"/>
  <c r="E97" i="4" a="1"/>
  <c r="E72" i="4" a="1"/>
  <c r="E72" i="4" l="1"/>
  <c r="E97" i="4"/>
  <c r="E84" i="4"/>
  <c r="E61" i="4"/>
  <c r="E66" i="4"/>
  <c r="E80" i="4"/>
  <c r="E88" i="4"/>
  <c r="E67" i="4"/>
  <c r="E70" i="4"/>
  <c r="E103" i="4"/>
  <c r="E95" i="4"/>
  <c r="E98" i="4"/>
  <c r="E107" i="4"/>
  <c r="E64" i="4"/>
  <c r="E79" i="4"/>
  <c r="E78" i="4"/>
  <c r="E62" i="4"/>
  <c r="E81" i="4"/>
  <c r="E91" i="4"/>
  <c r="E71" i="4"/>
  <c r="E69" i="4"/>
  <c r="E102" i="4"/>
  <c r="E65" i="4"/>
  <c r="E68" i="4"/>
  <c r="E89" i="4"/>
  <c r="E96" i="4"/>
  <c r="E85" i="4"/>
  <c r="E110" i="4"/>
  <c r="E108" i="4"/>
  <c r="E92" i="4"/>
  <c r="E76" i="4"/>
  <c r="E109" i="4"/>
  <c r="E77" i="4"/>
  <c r="E83" i="4"/>
  <c r="E63" i="4"/>
  <c r="E104" i="4"/>
  <c r="E101" i="4"/>
  <c r="E86" i="4"/>
  <c r="E100" i="4"/>
  <c r="E93" i="4"/>
  <c r="E82" i="4"/>
  <c r="E87" i="4"/>
  <c r="E99" i="4"/>
  <c r="E94" i="4"/>
  <c r="E106" i="4"/>
  <c r="E90" i="4"/>
  <c r="E74" i="4"/>
  <c r="E105" i="4"/>
  <c r="E73" i="4"/>
  <c r="E75" i="4"/>
  <c r="F25" i="4"/>
  <c r="F47" i="4"/>
  <c r="F40" i="4"/>
  <c r="F41" i="4"/>
  <c r="F43" i="4"/>
  <c r="F48" i="4"/>
  <c r="F45" i="4"/>
  <c r="F44" i="4"/>
  <c r="F26" i="4"/>
  <c r="F46" i="4"/>
  <c r="F24" i="4"/>
  <c r="F30" i="4"/>
  <c r="F4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<sst xmlns="http://schemas.openxmlformats.org/spreadsheetml/2006/main" count="355" uniqueCount="199">
  <si>
    <t>Risk Portfolio: The Central Limit Theorem Approximation</t>
  </si>
  <si>
    <t>ModelRisk example  ·  General use  ·  GU-02</t>
  </si>
  <si>
    <t>Can a register of 132 risks be added up without a simulation?  The Central Limit Theorem against Monte Carlo.</t>
  </si>
  <si>
    <t>Next:  Inputs  ▸</t>
  </si>
  <si>
    <t>Model card</t>
  </si>
  <si>
    <t>Industry</t>
  </si>
  <si>
    <t>General use</t>
  </si>
  <si>
    <t>Difficulty</t>
  </si>
  <si>
    <t>★★★☆☆   The mean and variance of risk events, and the Central Limit Theorem checked against a simulation.</t>
  </si>
  <si>
    <t>Business question</t>
  </si>
  <si>
    <t>A company's risk register holds 132 independent risks, each with a probability and an impact distribution. The Central Limit Theorem says that their total is roughly Normal, with a mean and a variance that are simple sums. How good is that shortcut for setting a contingency, and where does it fail?</t>
  </si>
  <si>
    <t>Who it is for</t>
  </si>
  <si>
    <t>Risk analysts, and anyone who has to explain why a risk register is simulated rather than added up.</t>
  </si>
  <si>
    <t>Main outputs</t>
  </si>
  <si>
    <t>The exact mean and standard deviation of the total · the contingency at the chosen confidence level by simulation and by the Normal approximation · their percentiles side by side · the skewness of the total and the risks that dominate it.</t>
  </si>
  <si>
    <t>ModelRisk techniques</t>
  </si>
  <si>
    <t>Distribution objects (VosePERTObject, VoseTriangleObject, …) with VoseMean and VoseVariance for exact moments · the mean and variance of a risk event · the Central Limit Theorem as VoseNormal(mean, standard deviation) and its percentiles through the U argument · VoseSimulate to draw from each object.</t>
  </si>
  <si>
    <t>File</t>
  </si>
  <si>
    <t>GU-02 Risk portfolio CLT approximation  ·  Version 1.0  ·  October 2026  ·  re-issues the example CLT Risk Portfolio Approximation  ·  built with ModelRisk 10</t>
  </si>
  <si>
    <t>The business question</t>
  </si>
  <si>
    <t>A company's enterprise risk register has 132 risks. Most are small or unlikely; a few are large. Each has a probability and an impact distribution: PERT, triangle, modified PERT, lognormal or normal. The total impact is the sum of the risks that happen. With so many independent risks, the Central Limit Theorem suggests that the total is approximately Normal, with a mean equal to the sum of the risks' means and a variance equal to the sum of their variances, and both can be written down without a simulation. The model does both: it simulates the register, computes the Normal approximation, and compares their percentiles to show where the shortcut is good enough and where it is not.</t>
  </si>
  <si>
    <t>How the model works</t>
  </si>
  <si>
    <t>Three sheets after this one, read from left to right. Each one feeds the next.</t>
  </si>
  <si>
    <t>1  Inputs</t>
  </si>
  <si>
    <t>The confidence level at which the contingency is read: 90%, as in the original example.</t>
  </si>
  <si>
    <t>2  Risks</t>
  </si>
  <si>
    <t>Each risk's impact distribution is a ModelRisk object, so VoseMean and VoseVariance give its exact mean and variance. A risk that happens with probability p has mean p × mean and variance p × variance + p(1 − p) × mean²; summed over the register they give the exact mean and variance of the total. In every iteration VoseBernoulli decides whether each risk happens and VoseSimulate draws its impact from the object.</t>
  </si>
  <si>
    <t>3  Results</t>
  </si>
  <si>
    <t>The contingency and the percentiles of the simulated total against those of a Normal distribution with the same mean and standard deviation; the skewness of the total; the risks that drive it.</t>
  </si>
  <si>
    <t>How to use it</t>
  </si>
  <si>
    <t>Step 1</t>
  </si>
  <si>
    <t>Replace the register on the Risks sheet with your own risks: probability, distribution and parameters.</t>
  </si>
  <si>
    <t>Step 2</t>
  </si>
  <si>
    <t>To change a risk's distribution, rewrite its object, for example VoseTriangleObject(min, most likely, max).</t>
  </si>
  <si>
    <t>Step 3</t>
  </si>
  <si>
    <t>Run a simulation from the ModelRisk ribbon (10,000 samples with a fixed seed are set).</t>
  </si>
  <si>
    <t>Step 4</t>
  </si>
  <si>
    <t>Compare the percentiles: where the two differ by more than you can accept, simulate rather than add up.</t>
  </si>
  <si>
    <t>Workbook map</t>
  </si>
  <si>
    <t>Inputs</t>
  </si>
  <si>
    <t>The confidence level for the contingency.</t>
  </si>
  <si>
    <t>Risks</t>
  </si>
  <si>
    <t>The register with each risk's exact moments and this iteration's impact; outputs and checks.</t>
  </si>
  <si>
    <t>Results</t>
  </si>
  <si>
    <t>Simulation against the CLT, percentiles compared, why they differ, and the risks that matter.</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</si>
  <si>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</si>
  <si>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</si>
  <si>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</si>
  <si>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</si>
  <si>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</si>
  <si>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</si>
  <si>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</si>
  <si>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</si>
  <si>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</si>
  <si>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</si>
  <si>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</si>
  <si>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</si>
  <si>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</si>
  <si>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t>
  </si>
  <si>
    <t>Risk event</t>
  </si>
  <si>
    <t>A risk that happens with probability p: its impact is drawn from its distribution, and is 0 otherwise.</t>
  </si>
  <si>
    <t>CLT</t>
  </si>
  <si>
    <t>The Central Limit Theorem: the sum of many independent random variables is approximately Normal.</t>
  </si>
  <si>
    <t>Key assumptions and limitations</t>
  </si>
  <si>
    <t>Independence</t>
  </si>
  <si>
    <t>The risks are independent. Both the sum of the variances and the Central Limit Theorem rely on it.</t>
  </si>
  <si>
    <t>Impact parameters</t>
  </si>
  <si>
    <t>Lognormal and normal impacts are given by their mean and standard deviation; the others by their minimum, most likely and maximum (and γ for the modified PERT).</t>
  </si>
  <si>
    <t>Data</t>
  </si>
  <si>
    <t>The register is invented for this example; it is that of ModelRisk's earlier CLT Risk Portfolio Approximation example.</t>
  </si>
  <si>
    <t>ModelRisk functions used</t>
  </si>
  <si>
    <t>VosePERTObject, VoseTriangleObject, VoseModPERTObject, VoseLognormalObject, VoseNormalObject</t>
  </si>
  <si>
    <t>Each risk's impact distribution as an object.</t>
  </si>
  <si>
    <t>VoseMean, VoseVariance</t>
  </si>
  <si>
    <t>The exact mean and variance of each object.</t>
  </si>
  <si>
    <t>VoseBernoulli</t>
  </si>
  <si>
    <t>Whether each risk happens.</t>
  </si>
  <si>
    <t>VoseSimulate</t>
  </si>
  <si>
    <t>Draws each risk's impact from its object.</t>
  </si>
  <si>
    <t>VoseNormal</t>
  </si>
  <si>
    <t>The CLT approximation: a Normal with the total's mean and standard deviation. With its U argument it returns a percentile instead of a random value.</t>
  </si>
  <si>
    <t>VoseInput, VoseOutput</t>
  </si>
  <si>
    <t>Name each risk's impact and the two totals for the Results Viewer.</t>
  </si>
  <si>
    <t>VoseSimMean, VoseSimStdev, VoseSimPercentile, VoseSimSkewness</t>
  </si>
  <si>
    <t>Statistics of the simulation.</t>
  </si>
  <si>
    <t>Further reading</t>
  </si>
  <si>
    <t>Central Limit Theorem</t>
  </si>
  <si>
    <t>Vose, D. (2008). Risk Analysis: A Quantitative Guide, 3rd edition. Wiley: sums of random variables and the Central Limit Theorem.</t>
  </si>
  <si>
    <t>© 2026 Vose Software   ·   www.vosesoftware.com   ·   An illustrative example: the figures are invented for teaching and do not describe a real company, project or asset.</t>
  </si>
  <si>
    <t>INPUTS   ·   The confidence level. The 132 risks are on the Risks sheet. Change only the yellow cells.</t>
  </si>
  <si>
    <t>◂  About</t>
  </si>
  <si>
    <t>Next:  Risks  ▸</t>
  </si>
  <si>
    <t>How to read this sheet:  yellow cells are inputs.</t>
  </si>
  <si>
    <t>1   Contingency policy</t>
  </si>
  <si>
    <t>The confidence level at which the contingency is read.</t>
  </si>
  <si>
    <t>Assumption</t>
  </si>
  <si>
    <t>Unit</t>
  </si>
  <si>
    <t>Value in model</t>
  </si>
  <si>
    <t>Uncertainty</t>
  </si>
  <si>
    <t>Basis / source (illustrative)</t>
  </si>
  <si>
    <t>Confidence level for the contingency</t>
  </si>
  <si>
    <t>probability</t>
  </si>
  <si>
    <t>Fixed</t>
  </si>
  <si>
    <t>The 90th percentile, as in the original example.</t>
  </si>
  <si>
    <t>RISKS   ·   132 independent risks: each one's exact mean and variance, and its impact in this iteration.</t>
  </si>
  <si>
    <t>◂  Inputs</t>
  </si>
  <si>
    <t>Next:  Results  ▸</t>
  </si>
  <si>
    <t>1   The risk register</t>
  </si>
  <si>
    <t>Yellow cells are inputs. Each risk's impact distribution is an object; its exact mean and variance follow from it.</t>
  </si>
  <si>
    <t>Risk</t>
  </si>
  <si>
    <t>Probability</t>
  </si>
  <si>
    <t>Distribution</t>
  </si>
  <si>
    <t>Parameters</t>
  </si>
  <si>
    <t>Impact distribution  (object)</t>
  </si>
  <si>
    <t>If it happens</t>
  </si>
  <si>
    <t>This iteration</t>
  </si>
  <si>
    <t>How it is calculated</t>
  </si>
  <si>
    <t>mean / min</t>
  </si>
  <si>
    <t>sd / most likely</t>
  </si>
  <si>
    <t>max</t>
  </si>
  <si>
    <t>γ</t>
  </si>
  <si>
    <t>mean</t>
  </si>
  <si>
    <t>variance</t>
  </si>
  <si>
    <t>happens?</t>
  </si>
  <si>
    <t>impact</t>
  </si>
  <si>
    <t>Lognormal</t>
  </si>
  <si>
    <t>Object: the risk's impact distribution, e.g. VosePERTObject(min, most likely, max)</t>
  </si>
  <si>
    <t>PERT</t>
  </si>
  <si>
    <t>If it happens: VoseMean(object) and VoseVariance(object), exact</t>
  </si>
  <si>
    <t>Risk event: mean = p × mean; variance = p × variance + p(1 − p) × mean²</t>
  </si>
  <si>
    <t>Happens: VoseBernoulli(p); impact = happens × VoseSimulate(object)</t>
  </si>
  <si>
    <t>To change a distribution, rewrite the object in column I</t>
  </si>
  <si>
    <t>Triangle</t>
  </si>
  <si>
    <t>Normal</t>
  </si>
  <si>
    <t>ModPERT</t>
  </si>
  <si>
    <t>Total</t>
  </si>
  <si>
    <t>Exact mean and variance of the total; risks that happen; total impact</t>
  </si>
  <si>
    <t>2   Value in this iteration</t>
  </si>
  <si>
    <t>Key outputs, recorded by ModelRisk at every sample (VoseOutput). Their statistics appear on the Results sheet.</t>
  </si>
  <si>
    <t>Output</t>
  </si>
  <si>
    <t>Value</t>
  </si>
  <si>
    <t>Meaning</t>
  </si>
  <si>
    <t>Standard deviation of the total  (exact)</t>
  </si>
  <si>
    <t>US$m</t>
  </si>
  <si>
    <t>Square root of the sum of the risks' variances: they are independent.</t>
  </si>
  <si>
    <t>Total impact of the risks</t>
  </si>
  <si>
    <t>The risks that happen in this iteration, added up.</t>
  </si>
  <si>
    <t>Normal approximation of the total  (CLT)</t>
  </si>
  <si>
    <t>A Normal draw with the total's exact mean and standard deviation.</t>
  </si>
  <si>
    <t>3   Model checks</t>
  </si>
  <si>
    <t>Should all read OK. A CHECK means an input has been set outside the range the model is built for.</t>
  </si>
  <si>
    <t>Probabilities are between 0% and 100%</t>
  </si>
  <si>
    <t>Three-point ranges are in order  (min ≤ most likely ≤ max)</t>
  </si>
  <si>
    <t>RESULTS   ·   Filled in automatically from the last simulation. Run a simulation after changing any input.</t>
  </si>
  <si>
    <t>◂  Risks</t>
  </si>
  <si>
    <t>1   Contingency: simulation against the CLT</t>
  </si>
  <si>
    <t>Total impact — simulated and CLT</t>
  </si>
  <si>
    <t>The total at the confidence level on the Inputs sheet, simulated and from a Normal with the same mean and standard deviation.</t>
  </si>
  <si>
    <t>Measure</t>
  </si>
  <si>
    <t>Mean of the total  (exact)</t>
  </si>
  <si>
    <t>Mean  (simulated)</t>
  </si>
  <si>
    <t>Standard deviation  (simulated)</t>
  </si>
  <si>
    <t>Contingency  (simulated)</t>
  </si>
  <si>
    <t>Contingency from the CLT</t>
  </si>
  <si>
    <t>CLT minus simulation</t>
  </si>
  <si>
    <t>Confidence level  (Inputs sheet)</t>
  </si>
  <si>
    <t>2   Percentiles compared</t>
  </si>
  <si>
    <t>The simulated total against the Normal approximation, from the far left tail to the far right tail.</t>
  </si>
  <si>
    <t>Percentile</t>
  </si>
  <si>
    <t>Simulated</t>
  </si>
  <si>
    <t>CLT − simulated</t>
  </si>
  <si>
    <t>P1</t>
  </si>
  <si>
    <t>P5</t>
  </si>
  <si>
    <t>P10</t>
  </si>
  <si>
    <t>P50</t>
  </si>
  <si>
    <t>P90</t>
  </si>
  <si>
    <t>P95</t>
  </si>
  <si>
    <t>P99</t>
  </si>
  <si>
    <t>3   Why they differ</t>
  </si>
  <si>
    <t>The CLT assumes a symmetric total made of many risks of similar size.</t>
  </si>
  <si>
    <t>Skewness of the total  (simulated; a Normal has 0)</t>
  </si>
  <si>
    <t>Largest single risk's share of the total variance</t>
  </si>
  <si>
    <t>share</t>
  </si>
  <si>
    <t>4   Which risks dominate the total</t>
  </si>
  <si>
    <t>The ten risks with the largest share of the total's variance: exact, from the Risks sheet, no simulation needed.</t>
  </si>
  <si>
    <t>Risk  (ranked by its share of the variance)</t>
  </si>
  <si>
    <t>Mean if it happens</t>
  </si>
  <si>
    <t>Share of the variance</t>
  </si>
  <si>
    <t>Cumulative</t>
  </si>
  <si>
    <t>5   How to read these results</t>
  </si>
  <si>
    <t>•  The Central Limit Theorem replaces the sum of 132 risk events by a Normal distribution with the same mean and standard deviation. It needs no simulation: two sums on the Risks sheet.</t>
  </si>
  <si>
    <t>•  Here it is close at the 90th percentile, within about 1%, but it underestimates the far right tail (about 5% low at the 99th percentile) and puts the median too high. The simulated total is skewed to the right; a Normal is symmetric.</t>
  </si>
  <si>
    <t>•  The theorem needs many risks of similar size. Here four risks carry half of the variance and the largest alone a fifth (the table above), so the total keeps some of their skew.</t>
  </si>
  <si>
    <t>•  The CLT is a good first estimate for a large register and a check on a simulation. Simulate when the tail matters, for example for a contingency at P95 or above, or when a few risks dominate.</t>
  </si>
  <si>
    <t>Chart data</t>
  </si>
  <si>
    <t>Statistics of the last simulation behind the charts and the ranking above. Grouped: click + in the left margin to show them.</t>
  </si>
  <si>
    <t>Cumulative probability</t>
  </si>
  <si>
    <t>Exceedance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</si>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</sst>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_);\(#,##0.00\);&quot;–&quot;_)"/>
    <numFmt numFmtId="166" formatCode="#,##0.0_);\(#,##0.0\);&quot;–&quot;_)"/>
    <numFmt numFmtId="167" formatCode="#,##0.0_);\(#,##0.0\);&quot;–&quot;_);&quot;–&quot;"/>
    <numFmt numFmtId="168" formatCode="#,##0.0;\-#,##0.0;#,##0.0;&quot;–&quot;"/>
    <numFmt numFmtId="169" formatCode="0.00;\-0.00;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9"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4" fontId="1" fillId="2" borderId="7" xfId="1" applyNumberFormat="1" applyBorder="1">
      <alignment horizontal="right" vertical="center"/>
    </xf>
    <xf numFmtId="0" fontId="1" fillId="2" borderId="7" xfId="1" applyBorder="1">
      <alignment horizontal="right" vertical="center"/>
    </xf>
    <xf numFmtId="0" fontId="3" fillId="0" borderId="8" xfId="3" applyBorder="1" applyAlignment="1">
      <alignment horizontal="left" vertical="center" indent="1"/>
    </xf>
    <xf numFmtId="165" fontId="3" fillId="0" borderId="8" xfId="3" applyNumberFormat="1" applyBorder="1">
      <alignment horizontal="right" vertical="center"/>
    </xf>
    <xf numFmtId="166" fontId="3" fillId="0" borderId="8" xfId="3" applyNumberFormat="1" applyBorder="1">
      <alignment horizontal="right" vertical="center"/>
    </xf>
    <xf numFmtId="1" fontId="2" fillId="3" borderId="7" xfId="2" applyNumberFormat="1" applyBorder="1">
      <alignment horizontal="right" vertical="center"/>
    </xf>
    <xf numFmtId="166" fontId="2" fillId="3" borderId="7" xfId="2"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6" fontId="12" fillId="0" borderId="9" xfId="3" applyNumberFormat="1" applyFont="1" applyBorder="1">
      <alignment horizontal="right" vertical="center"/>
    </xf>
    <xf numFmtId="1" fontId="12" fillId="0" borderId="9" xfId="3" applyNumberFormat="1" applyFont="1" applyBorder="1">
      <alignment horizontal="right" vertical="center"/>
    </xf>
    <xf numFmtId="0" fontId="18" fillId="0" borderId="9" xfId="0" applyFont="1" applyBorder="1" applyAlignment="1">
      <alignment horizontal="left" vertical="center"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6"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0" fontId="21" fillId="0" borderId="6" xfId="0" applyFont="1" applyBorder="1" applyAlignment="1">
      <alignment horizontal="left" vertical="center" indent="1"/>
    </xf>
    <xf numFmtId="167" fontId="1" fillId="5" borderId="7" xfId="5" applyNumberFormat="1" applyBorder="1">
      <alignment horizontal="right" vertical="center"/>
    </xf>
    <xf numFmtId="167" fontId="22" fillId="5" borderId="7" xfId="5" applyNumberFormat="1" applyFont="1" applyBorder="1">
      <alignment horizontal="right" vertical="center"/>
    </xf>
    <xf numFmtId="0" fontId="11" fillId="0" borderId="6" xfId="0" applyFont="1" applyBorder="1" applyAlignment="1">
      <alignment horizontal="left" vertical="center" indent="1"/>
    </xf>
    <xf numFmtId="9" fontId="3" fillId="0" borderId="8" xfId="3" applyNumberForma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164" fontId="3" fillId="0" borderId="8" xfId="3"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Simulated</c:v>
          </c:tx>
          <c:spPr>
            <a:ln w="25400">
              <a:solidFill>
                <a:srgbClr val="0E4F92"/>
              </a:solidFill>
              <a:prstDash val="solid"/>
            </a:ln>
          </c:spPr>
          <c:marker>
            <c:symbol val="none"/>
          </c:marker>
          <c:xVal>
            <c:numRef>
              <c:f>Results!$D$61:$D$110</c:f>
              <c:numCache>
                <c:formatCode>#,##0.00</c:formatCode>
                <c:ptCount val="50"/>
                <c:pt idx="0">
                  <c:v>84.12922343286948</c:v>
                </c:pt>
                <c:pt idx="1">
                  <c:v>100.58847869807187</c:v>
                </c:pt>
                <c:pt idx="2">
                  <c:v>109.97257945278466</c:v>
                </c:pt>
                <c:pt idx="3">
                  <c:v>116.19317910709223</c:v>
                </c:pt>
                <c:pt idx="4">
                  <c:v>121.03435019989271</c:v>
                </c:pt>
                <c:pt idx="5">
                  <c:v>126.15764882198563</c:v>
                </c:pt>
                <c:pt idx="6">
                  <c:v>130.05322183581598</c:v>
                </c:pt>
                <c:pt idx="7">
                  <c:v>133.81935816764087</c:v>
                </c:pt>
                <c:pt idx="8">
                  <c:v>137.41551208377484</c:v>
                </c:pt>
                <c:pt idx="9">
                  <c:v>140.9131521816681</c:v>
                </c:pt>
                <c:pt idx="10">
                  <c:v>144.16636890754017</c:v>
                </c:pt>
                <c:pt idx="11">
                  <c:v>147.06679556515476</c:v>
                </c:pt>
                <c:pt idx="12">
                  <c:v>149.678974012412</c:v>
                </c:pt>
                <c:pt idx="13">
                  <c:v>152.50309763024075</c:v>
                </c:pt>
                <c:pt idx="14">
                  <c:v>155.72935928638123</c:v>
                </c:pt>
                <c:pt idx="15">
                  <c:v>158.37068150260973</c:v>
                </c:pt>
                <c:pt idx="16">
                  <c:v>160.89807198561519</c:v>
                </c:pt>
                <c:pt idx="17">
                  <c:v>163.56191461960984</c:v>
                </c:pt>
                <c:pt idx="18">
                  <c:v>166.21426352404069</c:v>
                </c:pt>
                <c:pt idx="19">
                  <c:v>168.85771979022772</c:v>
                </c:pt>
                <c:pt idx="20">
                  <c:v>171.18988945610991</c:v>
                </c:pt>
                <c:pt idx="21">
                  <c:v>173.59805918027513</c:v>
                </c:pt>
                <c:pt idx="22">
                  <c:v>176.00258210889004</c:v>
                </c:pt>
                <c:pt idx="23">
                  <c:v>178.45470186475669</c:v>
                </c:pt>
                <c:pt idx="24">
                  <c:v>181.12409829309689</c:v>
                </c:pt>
                <c:pt idx="25">
                  <c:v>183.63505253670243</c:v>
                </c:pt>
                <c:pt idx="26">
                  <c:v>186.44704976826245</c:v>
                </c:pt>
                <c:pt idx="27">
                  <c:v>189.20646823171165</c:v>
                </c:pt>
                <c:pt idx="28">
                  <c:v>191.72811968809833</c:v>
                </c:pt>
                <c:pt idx="29">
                  <c:v>194.5332373517854</c:v>
                </c:pt>
                <c:pt idx="30">
                  <c:v>197.69625415964427</c:v>
                </c:pt>
                <c:pt idx="31">
                  <c:v>200.29057118872765</c:v>
                </c:pt>
                <c:pt idx="32">
                  <c:v>203.22403365967671</c:v>
                </c:pt>
                <c:pt idx="33">
                  <c:v>206.60747644153375</c:v>
                </c:pt>
                <c:pt idx="34">
                  <c:v>209.90585331262878</c:v>
                </c:pt>
                <c:pt idx="35">
                  <c:v>212.89772651746964</c:v>
                </c:pt>
                <c:pt idx="36">
                  <c:v>216.50669209654143</c:v>
                </c:pt>
                <c:pt idx="37">
                  <c:v>220.03552274010394</c:v>
                </c:pt>
                <c:pt idx="38">
                  <c:v>224.07695775203021</c:v>
                </c:pt>
                <c:pt idx="39">
                  <c:v>228.15442606573598</c:v>
                </c:pt>
                <c:pt idx="40">
                  <c:v>232.6586516978696</c:v>
                </c:pt>
                <c:pt idx="41">
                  <c:v>237.02793339880768</c:v>
                </c:pt>
                <c:pt idx="42">
                  <c:v>241.87129896682697</c:v>
                </c:pt>
                <c:pt idx="43">
                  <c:v>247.60467917624311</c:v>
                </c:pt>
                <c:pt idx="44">
                  <c:v>253.83998819245284</c:v>
                </c:pt>
                <c:pt idx="45">
                  <c:v>260.76013555254457</c:v>
                </c:pt>
                <c:pt idx="46">
                  <c:v>269.92096370924537</c:v>
                </c:pt>
                <c:pt idx="47">
                  <c:v>280.36143622083495</c:v>
                </c:pt>
                <c:pt idx="48">
                  <c:v>294.48555316547578</c:v>
                </c:pt>
                <c:pt idx="49">
                  <c:v>326.25421740039553</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782-4D2A-BAD3-C7E849A0E082}"/>
            </c:ext>
          </c:extLst>
        </c:ser>
        <c:ser>
          <c:idx val="1"/>
          <c:order val="1"/>
          <c:tx>
            <c:v>CLT approximation (Normal)</c:v>
          </c:tx>
          <c:spPr>
            <a:ln w="25400">
              <a:solidFill>
                <a:srgbClr val="B45309"/>
              </a:solidFill>
              <a:prstDash val="dash"/>
            </a:ln>
          </c:spPr>
          <c:marker>
            <c:symbol val="none"/>
          </c:marker>
          <c:xVal>
            <c:numRef>
              <c:f>Results!$E$61:$E$110</c:f>
              <c:numCache>
                <c:formatCode>#,##0.00</c:formatCode>
                <c:ptCount val="50"/>
                <c:pt idx="0">
                  <c:v>64.19097998974847</c:v>
                </c:pt>
                <c:pt idx="1">
                  <c:v>87.699506260306308</c:v>
                </c:pt>
                <c:pt idx="2">
                  <c:v>100.99731456544417</c:v>
                </c:pt>
                <c:pt idx="3">
                  <c:v>109.34598025802971</c:v>
                </c:pt>
                <c:pt idx="4">
                  <c:v>116.33403028848667</c:v>
                </c:pt>
                <c:pt idx="5">
                  <c:v>122.95604284527315</c:v>
                </c:pt>
                <c:pt idx="6">
                  <c:v>128.44468047282359</c:v>
                </c:pt>
                <c:pt idx="7">
                  <c:v>133.06448087478688</c:v>
                </c:pt>
                <c:pt idx="8">
                  <c:v>137.76370353544502</c:v>
                </c:pt>
                <c:pt idx="9">
                  <c:v>141.51388174296778</c:v>
                </c:pt>
                <c:pt idx="10">
                  <c:v>145.3251716419081</c:v>
                </c:pt>
                <c:pt idx="11">
                  <c:v>148.64686489480843</c:v>
                </c:pt>
                <c:pt idx="12">
                  <c:v>152.31564736565809</c:v>
                </c:pt>
                <c:pt idx="13">
                  <c:v>155.8402312510581</c:v>
                </c:pt>
                <c:pt idx="14">
                  <c:v>159.01717230928148</c:v>
                </c:pt>
                <c:pt idx="15">
                  <c:v>161.73863505173131</c:v>
                </c:pt>
                <c:pt idx="16">
                  <c:v>164.7470679588013</c:v>
                </c:pt>
                <c:pt idx="17">
                  <c:v>167.75540132147779</c:v>
                </c:pt>
                <c:pt idx="18">
                  <c:v>170.38815153177333</c:v>
                </c:pt>
                <c:pt idx="19">
                  <c:v>173.22257266333256</c:v>
                </c:pt>
                <c:pt idx="20">
                  <c:v>176.106135762181</c:v>
                </c:pt>
                <c:pt idx="21">
                  <c:v>178.83515745154591</c:v>
                </c:pt>
                <c:pt idx="22">
                  <c:v>181.43977600468222</c:v>
                </c:pt>
                <c:pt idx="23">
                  <c:v>183.91754860446278</c:v>
                </c:pt>
                <c:pt idx="24">
                  <c:v>186.34466118088787</c:v>
                </c:pt>
                <c:pt idx="25">
                  <c:v>188.99484621749124</c:v>
                </c:pt>
                <c:pt idx="26">
                  <c:v>191.51493920824885</c:v>
                </c:pt>
                <c:pt idx="27">
                  <c:v>194.08318589695025</c:v>
                </c:pt>
                <c:pt idx="28">
                  <c:v>197.07998523495763</c:v>
                </c:pt>
                <c:pt idx="29">
                  <c:v>199.69619219452267</c:v>
                </c:pt>
                <c:pt idx="30">
                  <c:v>202.48432584835246</c:v>
                </c:pt>
                <c:pt idx="31">
                  <c:v>205.19276243301846</c:v>
                </c:pt>
                <c:pt idx="32">
                  <c:v>207.98928161806737</c:v>
                </c:pt>
                <c:pt idx="33">
                  <c:v>210.89434144754063</c:v>
                </c:pt>
                <c:pt idx="34">
                  <c:v>214.3593923508235</c:v>
                </c:pt>
                <c:pt idx="35">
                  <c:v>217.48371863756802</c:v>
                </c:pt>
                <c:pt idx="36">
                  <c:v>220.91356228057367</c:v>
                </c:pt>
                <c:pt idx="37">
                  <c:v>224.27324409621914</c:v>
                </c:pt>
                <c:pt idx="38">
                  <c:v>227.96753880760718</c:v>
                </c:pt>
                <c:pt idx="39">
                  <c:v>231.483700745276</c:v>
                </c:pt>
                <c:pt idx="40">
                  <c:v>235.02950549635136</c:v>
                </c:pt>
                <c:pt idx="41">
                  <c:v>238.88547176005076</c:v>
                </c:pt>
                <c:pt idx="42">
                  <c:v>243.06086064435416</c:v>
                </c:pt>
                <c:pt idx="43">
                  <c:v>248.30577350778799</c:v>
                </c:pt>
                <c:pt idx="44">
                  <c:v>254.3651760688052</c:v>
                </c:pt>
                <c:pt idx="45">
                  <c:v>260.69608505672977</c:v>
                </c:pt>
                <c:pt idx="46">
                  <c:v>268.18354029913235</c:v>
                </c:pt>
                <c:pt idx="47">
                  <c:v>276.13654307309776</c:v>
                </c:pt>
                <c:pt idx="48">
                  <c:v>288.7465353041747</c:v>
                </c:pt>
                <c:pt idx="49">
                  <c:v>315.26559953184471</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4782-4D2A-BAD3-C7E849A0E082}"/>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impact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7" t="s">
        <v>20</v>
      </c>
      <c r="C16" s="6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ht="26.25" x14ac:dyDescent="0.45">
      <c r="B57" s="9" t="s">
        <v>66</v>
      </c>
      <c r="C57" s="10" t="s">
        <v>67</v>
      </c>
    </row>
    <row r="58" spans="2:3" x14ac:dyDescent="0.45">
      <c r="B58" s="9" t="s">
        <v>68</v>
      </c>
      <c r="C58" s="10" t="s">
        <v>69</v>
      </c>
    </row>
    <row r="59" spans="2:3" ht="12" customHeight="1" x14ac:dyDescent="0.45"/>
    <row r="60" spans="2:3" ht="22.05" customHeight="1" x14ac:dyDescent="0.5">
      <c r="B60" s="7" t="s">
        <v>70</v>
      </c>
      <c r="C60" s="8"/>
    </row>
    <row r="61" spans="2:3" ht="65.650000000000006" x14ac:dyDescent="0.45">
      <c r="B61" s="20" t="s">
        <v>71</v>
      </c>
      <c r="C61" s="10" t="s">
        <v>72</v>
      </c>
    </row>
    <row r="62" spans="2:3" x14ac:dyDescent="0.45">
      <c r="B62" s="20" t="s">
        <v>73</v>
      </c>
      <c r="C62" s="10" t="s">
        <v>74</v>
      </c>
    </row>
    <row r="63" spans="2:3" x14ac:dyDescent="0.45">
      <c r="B63" s="20" t="s">
        <v>75</v>
      </c>
      <c r="C63" s="10" t="s">
        <v>76</v>
      </c>
    </row>
    <row r="64" spans="2:3" x14ac:dyDescent="0.45">
      <c r="B64" s="20" t="s">
        <v>77</v>
      </c>
      <c r="C64" s="10" t="s">
        <v>78</v>
      </c>
    </row>
    <row r="65" spans="2:3" ht="26.25" x14ac:dyDescent="0.45">
      <c r="B65" s="20" t="s">
        <v>79</v>
      </c>
      <c r="C65" s="10" t="s">
        <v>80</v>
      </c>
    </row>
    <row r="66" spans="2:3"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ht="16.05" customHeight="1" x14ac:dyDescent="0.45"/>
    <row r="72" spans="2:3" x14ac:dyDescent="0.45">
      <c r="B72" s="65" t="s">
        <v>88</v>
      </c>
      <c r="C72" s="66"/>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Risks'!A1" display="Risk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89</v>
      </c>
      <c r="C3" s="1"/>
      <c r="D3" s="1"/>
      <c r="E3" s="1"/>
      <c r="F3" s="1"/>
      <c r="G3" s="1"/>
      <c r="H3" s="1"/>
      <c r="I3" s="1"/>
      <c r="J3" s="1"/>
    </row>
    <row r="4" spans="1:10" ht="20" customHeight="1" x14ac:dyDescent="0.45">
      <c r="A4" s="5"/>
      <c r="B4" s="22" t="s">
        <v>90</v>
      </c>
      <c r="C4" s="5"/>
      <c r="D4" s="5"/>
      <c r="E4" s="5"/>
      <c r="F4" s="5"/>
      <c r="G4" s="5"/>
      <c r="H4" s="5"/>
      <c r="I4" s="5"/>
      <c r="J4" s="6" t="s">
        <v>91</v>
      </c>
    </row>
    <row r="5" spans="1:10" ht="8" customHeight="1" x14ac:dyDescent="0.45"/>
    <row r="6" spans="1:10" ht="20" customHeight="1" x14ac:dyDescent="0.45">
      <c r="B6" s="68" t="s">
        <v>92</v>
      </c>
      <c r="C6" s="66"/>
      <c r="D6" s="66"/>
      <c r="E6" s="66"/>
      <c r="F6" s="66"/>
      <c r="G6" s="66"/>
      <c r="H6" s="66"/>
      <c r="I6" s="66"/>
      <c r="J6" s="66"/>
    </row>
    <row r="7" spans="1:10" ht="6" customHeight="1" x14ac:dyDescent="0.45"/>
    <row r="8" spans="1:10" ht="22.05" customHeight="1" x14ac:dyDescent="0.5">
      <c r="B8" s="7" t="s">
        <v>93</v>
      </c>
      <c r="C8" s="8"/>
      <c r="D8" s="8"/>
      <c r="E8" s="8"/>
      <c r="F8" s="8"/>
      <c r="G8" s="8"/>
      <c r="H8" s="8"/>
      <c r="I8" s="8"/>
      <c r="J8" s="8"/>
    </row>
    <row r="9" spans="1:10" ht="18" customHeight="1" x14ac:dyDescent="0.45">
      <c r="B9" s="13" t="s">
        <v>94</v>
      </c>
    </row>
    <row r="10" spans="1:10" ht="18" customHeight="1" x14ac:dyDescent="0.45">
      <c r="B10" s="23" t="s">
        <v>95</v>
      </c>
      <c r="C10" s="23" t="s">
        <v>96</v>
      </c>
      <c r="D10" s="24" t="s">
        <v>97</v>
      </c>
      <c r="E10" s="23" t="s">
        <v>98</v>
      </c>
      <c r="F10" s="5"/>
      <c r="G10" s="5"/>
      <c r="H10" s="5"/>
      <c r="I10" s="5"/>
      <c r="J10" s="23" t="s">
        <v>99</v>
      </c>
    </row>
    <row r="11" spans="1:10" x14ac:dyDescent="0.45">
      <c r="B11" s="25" t="s">
        <v>100</v>
      </c>
      <c r="C11" s="26" t="s">
        <v>101</v>
      </c>
      <c r="D11" s="27">
        <v>0.9</v>
      </c>
      <c r="E11" s="26" t="s">
        <v>102</v>
      </c>
      <c r="F11" s="28"/>
      <c r="G11" s="28"/>
      <c r="H11" s="28"/>
      <c r="I11" s="28"/>
      <c r="J11" s="29" t="s">
        <v>103</v>
      </c>
    </row>
    <row r="12" spans="1:10" ht="8" customHeight="1" x14ac:dyDescent="0.45"/>
  </sheetData>
  <mergeCells count="1">
    <mergeCell ref="B6:J6"/>
  </mergeCells>
  <dataValidations count="1">
    <dataValidation type="decimal" showErrorMessage="1" errorTitle="Probability" error="Enter a value between 0% and 100%." sqref="D11" xr:uid="{00000000-0002-0000-0100-000000000000}">
      <formula1>0</formula1>
      <formula2>1</formula2>
    </dataValidation>
  </dataValidations>
  <hyperlinks>
    <hyperlink ref="B4" location="'About'!A1" display="◂  About" xr:uid="{00000000-0004-0000-0100-000000000000}"/>
    <hyperlink ref="J4" location="'Risks'!A1" display="Next:  Risk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P155"/>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6" customWidth="1"/>
    <col min="3" max="3" width="10" customWidth="1"/>
    <col min="4" max="4" width="11" customWidth="1"/>
    <col min="5" max="5" width="9" customWidth="1"/>
    <col min="6" max="6" width="10" customWidth="1"/>
    <col min="7" max="7" width="9" customWidth="1"/>
    <col min="8" max="8" width="7" customWidth="1"/>
    <col min="9" max="9" width="24" customWidth="1"/>
    <col min="10" max="13" width="10" customWidth="1"/>
    <col min="14" max="14" width="9" customWidth="1"/>
    <col min="15" max="15" width="10" customWidth="1"/>
    <col min="16" max="16" width="50" customWidth="1"/>
  </cols>
  <sheetData>
    <row r="1" spans="1:16" ht="6" customHeight="1" x14ac:dyDescent="0.45"/>
    <row r="2" spans="1:16" ht="30" customHeight="1" x14ac:dyDescent="0.45">
      <c r="A2" s="1"/>
      <c r="B2" s="21" t="s">
        <v>0</v>
      </c>
      <c r="C2" s="1"/>
      <c r="D2" s="1"/>
      <c r="E2" s="1"/>
      <c r="F2" s="1"/>
      <c r="G2" s="1"/>
      <c r="H2" s="1"/>
      <c r="I2" s="1"/>
      <c r="J2" s="1"/>
      <c r="K2" s="1"/>
      <c r="L2" s="1"/>
      <c r="M2" s="1"/>
      <c r="N2" s="1"/>
      <c r="O2" s="1"/>
      <c r="P2" s="3" t="s">
        <v>1</v>
      </c>
    </row>
    <row r="3" spans="1:16" ht="20" customHeight="1" x14ac:dyDescent="0.45">
      <c r="A3" s="1"/>
      <c r="B3" s="4" t="s">
        <v>104</v>
      </c>
      <c r="C3" s="1"/>
      <c r="D3" s="1"/>
      <c r="E3" s="1"/>
      <c r="F3" s="1"/>
      <c r="G3" s="1"/>
      <c r="H3" s="1"/>
      <c r="I3" s="1"/>
      <c r="J3" s="1"/>
      <c r="K3" s="1"/>
      <c r="L3" s="1"/>
      <c r="M3" s="1"/>
      <c r="N3" s="1"/>
      <c r="O3" s="1"/>
      <c r="P3" s="1"/>
    </row>
    <row r="4" spans="1:16" ht="20" customHeight="1" x14ac:dyDescent="0.45">
      <c r="A4" s="5"/>
      <c r="B4" s="22" t="s">
        <v>105</v>
      </c>
      <c r="C4" s="5"/>
      <c r="D4" s="5"/>
      <c r="E4" s="5"/>
      <c r="F4" s="5"/>
      <c r="G4" s="5"/>
      <c r="H4" s="5"/>
      <c r="I4" s="5"/>
      <c r="J4" s="5"/>
      <c r="K4" s="5"/>
      <c r="L4" s="5"/>
      <c r="M4" s="5"/>
      <c r="N4" s="5"/>
      <c r="O4" s="5"/>
      <c r="P4" s="6" t="s">
        <v>106</v>
      </c>
    </row>
    <row r="5" spans="1:16" ht="8" customHeight="1" x14ac:dyDescent="0.45"/>
    <row r="6" spans="1:16" ht="22.05" customHeight="1" x14ac:dyDescent="0.5">
      <c r="B6" s="7" t="s">
        <v>107</v>
      </c>
      <c r="C6" s="8"/>
      <c r="D6" s="8"/>
      <c r="E6" s="8"/>
      <c r="F6" s="8"/>
      <c r="G6" s="8"/>
      <c r="H6" s="8"/>
      <c r="I6" s="8"/>
      <c r="J6" s="8"/>
      <c r="K6" s="8"/>
      <c r="L6" s="8"/>
      <c r="M6" s="8"/>
      <c r="N6" s="8"/>
      <c r="O6" s="8"/>
      <c r="P6" s="8"/>
    </row>
    <row r="7" spans="1:16" ht="18" customHeight="1" x14ac:dyDescent="0.45">
      <c r="B7" s="13" t="s">
        <v>108</v>
      </c>
    </row>
    <row r="8" spans="1:16" ht="18" customHeight="1" x14ac:dyDescent="0.45">
      <c r="B8" s="30" t="s">
        <v>109</v>
      </c>
      <c r="C8" s="31" t="s">
        <v>110</v>
      </c>
      <c r="D8" s="30" t="s">
        <v>111</v>
      </c>
      <c r="E8" s="30" t="s">
        <v>112</v>
      </c>
      <c r="F8" s="32"/>
      <c r="G8" s="32"/>
      <c r="H8" s="32"/>
      <c r="I8" s="30" t="s">
        <v>113</v>
      </c>
      <c r="J8" s="30" t="s">
        <v>114</v>
      </c>
      <c r="K8" s="32"/>
      <c r="L8" s="30" t="s">
        <v>59</v>
      </c>
      <c r="M8" s="32"/>
      <c r="N8" s="30" t="s">
        <v>115</v>
      </c>
      <c r="O8" s="32"/>
      <c r="P8" s="30" t="s">
        <v>116</v>
      </c>
    </row>
    <row r="9" spans="1:16" x14ac:dyDescent="0.45">
      <c r="B9" s="33"/>
      <c r="C9" s="33"/>
      <c r="D9" s="33"/>
      <c r="E9" s="33" t="s">
        <v>117</v>
      </c>
      <c r="F9" s="33" t="s">
        <v>118</v>
      </c>
      <c r="G9" s="33" t="s">
        <v>119</v>
      </c>
      <c r="H9" s="33" t="s">
        <v>120</v>
      </c>
      <c r="I9" s="33"/>
      <c r="J9" s="33" t="s">
        <v>121</v>
      </c>
      <c r="K9" s="33" t="s">
        <v>122</v>
      </c>
      <c r="L9" s="33" t="s">
        <v>121</v>
      </c>
      <c r="M9" s="33" t="s">
        <v>122</v>
      </c>
      <c r="N9" s="33" t="s">
        <v>123</v>
      </c>
      <c r="O9" s="33" t="s">
        <v>124</v>
      </c>
      <c r="P9" s="33"/>
    </row>
    <row r="10" spans="1:16" x14ac:dyDescent="0.45">
      <c r="B10" s="34">
        <v>1</v>
      </c>
      <c r="C10" s="35">
        <v>0.05</v>
      </c>
      <c r="D10" s="25" t="s">
        <v>125</v>
      </c>
      <c r="E10" s="36">
        <v>12</v>
      </c>
      <c r="F10" s="36">
        <v>5</v>
      </c>
      <c r="G10" s="28"/>
      <c r="H10" s="28"/>
      <c r="I10" s="37" t="str" cm="1">
        <f t="array" ref="I10">_xll.VoseLognormalObject(E10,F10)</f>
        <v>VoseLognormal(12,5)</v>
      </c>
      <c r="J10" s="38" cm="1">
        <f t="array" ref="J10">_xll.VoseMean(I10)</f>
        <v>12</v>
      </c>
      <c r="K10" s="39" cm="1">
        <f t="array" ref="K10">_xll.VoseVariance(I10)</f>
        <v>25</v>
      </c>
      <c r="L10" s="38">
        <f t="shared" ref="L10:L41" si="0">C10*J10</f>
        <v>0.60000000000000009</v>
      </c>
      <c r="M10" s="39">
        <f t="shared" ref="M10:M41" si="1">C10*K10+C10*(1-C10)*J10^2</f>
        <v>8.09</v>
      </c>
      <c r="N10" s="40" cm="1">
        <f t="array" aca="1" ref="N10" ca="1">_xll.VoseBernoulli(C10)</f>
        <v>0</v>
      </c>
      <c r="O10" s="41" cm="1">
        <f t="array" aca="1" ref="O10" ca="1">_xll.VoseInput("Risk 1","US$m")+N10*_xll.VoseSimulate(I10)</f>
        <v>0</v>
      </c>
      <c r="P10" s="26" t="s">
        <v>126</v>
      </c>
    </row>
    <row r="11" spans="1:16" x14ac:dyDescent="0.45">
      <c r="B11" s="34">
        <v>2</v>
      </c>
      <c r="C11" s="35">
        <v>0.01</v>
      </c>
      <c r="D11" s="25" t="s">
        <v>127</v>
      </c>
      <c r="E11" s="36">
        <v>3</v>
      </c>
      <c r="F11" s="36">
        <v>8</v>
      </c>
      <c r="G11" s="36">
        <v>14</v>
      </c>
      <c r="H11" s="28"/>
      <c r="I11" s="37" t="str" cm="1">
        <f t="array" ref="I11">_xll.VosePERTObject(E11,F11,G11)</f>
        <v>VosePERT(3,8,14)</v>
      </c>
      <c r="J11" s="38" cm="1">
        <f t="array" ref="J11">_xll.VoseMean(I11)</f>
        <v>8.1666666666666661</v>
      </c>
      <c r="K11" s="39" cm="1">
        <f t="array" ref="K11">_xll.VoseVariance(I11)</f>
        <v>4.3055555555555554</v>
      </c>
      <c r="L11" s="38">
        <f t="shared" si="0"/>
        <v>8.1666666666666665E-2</v>
      </c>
      <c r="M11" s="39">
        <f t="shared" si="1"/>
        <v>0.70333055555555546</v>
      </c>
      <c r="N11" s="40" cm="1">
        <f t="array" aca="1" ref="N11" ca="1">_xll.VoseBernoulli(C11)</f>
        <v>0</v>
      </c>
      <c r="O11" s="41" cm="1">
        <f t="array" aca="1" ref="O11" ca="1">_xll.VoseInput("Risk 2","US$m")+N11*_xll.VoseSimulate(I11)</f>
        <v>0</v>
      </c>
      <c r="P11" s="26" t="s">
        <v>128</v>
      </c>
    </row>
    <row r="12" spans="1:16" x14ac:dyDescent="0.45">
      <c r="B12" s="34">
        <v>3</v>
      </c>
      <c r="C12" s="35">
        <v>0.01</v>
      </c>
      <c r="D12" s="25" t="s">
        <v>127</v>
      </c>
      <c r="E12" s="36">
        <v>2</v>
      </c>
      <c r="F12" s="36">
        <v>3</v>
      </c>
      <c r="G12" s="36">
        <v>11</v>
      </c>
      <c r="H12" s="28"/>
      <c r="I12" s="37" t="str" cm="1">
        <f t="array" ref="I12">_xll.VosePERTObject(E12,F12,G12)</f>
        <v>VosePERT(2,3,11)</v>
      </c>
      <c r="J12" s="38" cm="1">
        <f t="array" ref="J12">_xll.VoseMean(I12)</f>
        <v>4.166666666666667</v>
      </c>
      <c r="K12" s="39" cm="1">
        <f t="array" ref="K12">_xll.VoseVariance(I12)</f>
        <v>2.1150793650793651</v>
      </c>
      <c r="L12" s="38">
        <f t="shared" si="0"/>
        <v>4.1666666666666671E-2</v>
      </c>
      <c r="M12" s="39">
        <f t="shared" si="1"/>
        <v>0.1930257936507937</v>
      </c>
      <c r="N12" s="40" cm="1">
        <f t="array" aca="1" ref="N12" ca="1">_xll.VoseBernoulli(C12)</f>
        <v>0</v>
      </c>
      <c r="O12" s="41" cm="1">
        <f t="array" aca="1" ref="O12" ca="1">_xll.VoseInput("Risk 3","US$m")+N12*_xll.VoseSimulate(I12)</f>
        <v>0</v>
      </c>
      <c r="P12" s="26" t="s">
        <v>129</v>
      </c>
    </row>
    <row r="13" spans="1:16" x14ac:dyDescent="0.45">
      <c r="B13" s="34">
        <v>4</v>
      </c>
      <c r="C13" s="35">
        <v>0.3</v>
      </c>
      <c r="D13" s="25" t="s">
        <v>127</v>
      </c>
      <c r="E13" s="36">
        <v>4</v>
      </c>
      <c r="F13" s="36">
        <v>10</v>
      </c>
      <c r="G13" s="36">
        <v>41</v>
      </c>
      <c r="H13" s="28"/>
      <c r="I13" s="37" t="str" cm="1">
        <f t="array" ref="I13">_xll.VosePERTObject(E13,F13,G13)</f>
        <v>VosePERT(4,10,41)</v>
      </c>
      <c r="J13" s="38" cm="1">
        <f t="array" ref="J13">_xll.VoseMean(I13)</f>
        <v>14.166666666666666</v>
      </c>
      <c r="K13" s="39" cm="1">
        <f t="array" ref="K13">_xll.VoseVariance(I13)</f>
        <v>38.972222222222221</v>
      </c>
      <c r="L13" s="38">
        <f t="shared" si="0"/>
        <v>4.25</v>
      </c>
      <c r="M13" s="39">
        <f t="shared" si="1"/>
        <v>53.837499999999991</v>
      </c>
      <c r="N13" s="40" cm="1">
        <f t="array" aca="1" ref="N13" ca="1">_xll.VoseBernoulli(C13)</f>
        <v>0</v>
      </c>
      <c r="O13" s="41" cm="1">
        <f t="array" aca="1" ref="O13" ca="1">_xll.VoseInput("Risk 4","US$m")+N13*_xll.VoseSimulate(I13)</f>
        <v>0</v>
      </c>
      <c r="P13" s="26" t="s">
        <v>130</v>
      </c>
    </row>
    <row r="14" spans="1:16" x14ac:dyDescent="0.45">
      <c r="B14" s="34">
        <v>5</v>
      </c>
      <c r="C14" s="35">
        <v>0.5</v>
      </c>
      <c r="D14" s="25" t="s">
        <v>127</v>
      </c>
      <c r="E14" s="36">
        <v>4</v>
      </c>
      <c r="F14" s="36">
        <v>7</v>
      </c>
      <c r="G14" s="36">
        <v>11</v>
      </c>
      <c r="H14" s="28"/>
      <c r="I14" s="37" t="str" cm="1">
        <f t="array" ref="I14">_xll.VosePERTObject(E14,F14,G14)</f>
        <v>VosePERT(4,7,11)</v>
      </c>
      <c r="J14" s="38" cm="1">
        <f t="array" ref="J14">_xll.VoseMean(I14)</f>
        <v>7.166666666666667</v>
      </c>
      <c r="K14" s="39" cm="1">
        <f t="array" ref="K14">_xll.VoseVariance(I14)</f>
        <v>1.7341269841269842</v>
      </c>
      <c r="L14" s="38">
        <f t="shared" si="0"/>
        <v>3.5833333333333335</v>
      </c>
      <c r="M14" s="39">
        <f t="shared" si="1"/>
        <v>13.707341269841271</v>
      </c>
      <c r="N14" s="40" cm="1">
        <f t="array" aca="1" ref="N14" ca="1">_xll.VoseBernoulli(C14)</f>
        <v>1</v>
      </c>
      <c r="O14" s="41" cm="1">
        <f t="array" aca="1" ref="O14" ca="1">_xll.VoseInput("Risk 5","US$m")+N14*_xll.VoseSimulate(I14)</f>
        <v>6.6782206174177769</v>
      </c>
      <c r="P14" s="26" t="s">
        <v>131</v>
      </c>
    </row>
    <row r="15" spans="1:16" x14ac:dyDescent="0.45">
      <c r="B15" s="34">
        <v>6</v>
      </c>
      <c r="C15" s="35">
        <v>0.2</v>
      </c>
      <c r="D15" s="25" t="s">
        <v>132</v>
      </c>
      <c r="E15" s="36">
        <v>4</v>
      </c>
      <c r="F15" s="36">
        <v>5</v>
      </c>
      <c r="G15" s="36">
        <v>8</v>
      </c>
      <c r="H15" s="28"/>
      <c r="I15" s="37" t="str" cm="1">
        <f t="array" ref="I15">_xll.VoseTriangleObject(E15,F15,G15)</f>
        <v>VoseTriangle(4,5,8)</v>
      </c>
      <c r="J15" s="38" cm="1">
        <f t="array" ref="J15">_xll.VoseMean(I15)</f>
        <v>5.666666666666667</v>
      </c>
      <c r="K15" s="39" cm="1">
        <f t="array" ref="K15">_xll.VoseVariance(I15)</f>
        <v>0.72222222222222221</v>
      </c>
      <c r="L15" s="38">
        <f t="shared" si="0"/>
        <v>1.1333333333333335</v>
      </c>
      <c r="M15" s="39">
        <f t="shared" si="1"/>
        <v>5.2822222222222237</v>
      </c>
      <c r="N15" s="40" cm="1">
        <f t="array" aca="1" ref="N15" ca="1">_xll.VoseBernoulli(C15)</f>
        <v>0</v>
      </c>
      <c r="O15" s="41" cm="1">
        <f t="array" aca="1" ref="O15" ca="1">_xll.VoseInput("Risk 6","US$m")+N15*_xll.VoseSimulate(I15)</f>
        <v>0</v>
      </c>
      <c r="P15" s="28"/>
    </row>
    <row r="16" spans="1:16" x14ac:dyDescent="0.45">
      <c r="B16" s="34">
        <v>7</v>
      </c>
      <c r="C16" s="35">
        <v>0.1</v>
      </c>
      <c r="D16" s="25" t="s">
        <v>127</v>
      </c>
      <c r="E16" s="36">
        <v>0</v>
      </c>
      <c r="F16" s="36">
        <v>1</v>
      </c>
      <c r="G16" s="36">
        <v>3</v>
      </c>
      <c r="H16" s="28"/>
      <c r="I16" s="37" t="str" cm="1">
        <f t="array" ref="I16">_xll.VosePERTObject(E16,F16,G16)</f>
        <v>VosePERT(0,1,3)</v>
      </c>
      <c r="J16" s="38" cm="1">
        <f t="array" ref="J16">_xll.VoseMean(I16)</f>
        <v>1.1666666666666667</v>
      </c>
      <c r="K16" s="39" cm="1">
        <f t="array" ref="K16">_xll.VoseVariance(I16)</f>
        <v>0.30555555555555552</v>
      </c>
      <c r="L16" s="38">
        <f t="shared" si="0"/>
        <v>0.11666666666666668</v>
      </c>
      <c r="M16" s="39">
        <f t="shared" si="1"/>
        <v>0.15305555555555558</v>
      </c>
      <c r="N16" s="40" cm="1">
        <f t="array" aca="1" ref="N16" ca="1">_xll.VoseBernoulli(C16)</f>
        <v>0</v>
      </c>
      <c r="O16" s="41" cm="1">
        <f t="array" aca="1" ref="O16" ca="1">_xll.VoseInput("Risk 7","US$m")+N16*_xll.VoseSimulate(I16)</f>
        <v>0</v>
      </c>
      <c r="P16" s="28"/>
    </row>
    <row r="17" spans="2:16" x14ac:dyDescent="0.45">
      <c r="B17" s="34">
        <v>8</v>
      </c>
      <c r="C17" s="35">
        <v>0.05</v>
      </c>
      <c r="D17" s="25" t="s">
        <v>127</v>
      </c>
      <c r="E17" s="36">
        <v>0</v>
      </c>
      <c r="F17" s="36">
        <v>1</v>
      </c>
      <c r="G17" s="36">
        <v>8</v>
      </c>
      <c r="H17" s="28"/>
      <c r="I17" s="37" t="str" cm="1">
        <f t="array" ref="I17">_xll.VosePERTObject(E17,F17,G17)</f>
        <v>VosePERT(0,1,8)</v>
      </c>
      <c r="J17" s="38" cm="1">
        <f t="array" ref="J17">_xll.VoseMean(I17)</f>
        <v>2</v>
      </c>
      <c r="K17" s="39" cm="1">
        <f t="array" ref="K17">_xll.VoseVariance(I17)</f>
        <v>1.7142857142857142</v>
      </c>
      <c r="L17" s="38">
        <f t="shared" si="0"/>
        <v>0.1</v>
      </c>
      <c r="M17" s="39">
        <f t="shared" si="1"/>
        <v>0.27571428571428569</v>
      </c>
      <c r="N17" s="40" cm="1">
        <f t="array" aca="1" ref="N17" ca="1">_xll.VoseBernoulli(C17)</f>
        <v>1</v>
      </c>
      <c r="O17" s="41" cm="1">
        <f t="array" aca="1" ref="O17" ca="1">_xll.VoseInput("Risk 8","US$m")+N17*_xll.VoseSimulate(I17)</f>
        <v>1.8004258719060813</v>
      </c>
      <c r="P17" s="28"/>
    </row>
    <row r="18" spans="2:16" x14ac:dyDescent="0.45">
      <c r="B18" s="34">
        <v>9</v>
      </c>
      <c r="C18" s="35">
        <v>0.1</v>
      </c>
      <c r="D18" s="25" t="s">
        <v>127</v>
      </c>
      <c r="E18" s="36">
        <v>2</v>
      </c>
      <c r="F18" s="36">
        <v>4</v>
      </c>
      <c r="G18" s="36">
        <v>20</v>
      </c>
      <c r="H18" s="28"/>
      <c r="I18" s="37" t="str" cm="1">
        <f t="array" ref="I18">_xll.VosePERTObject(E18,F18,G18)</f>
        <v>VosePERT(2,4,20)</v>
      </c>
      <c r="J18" s="38" cm="1">
        <f t="array" ref="J18">_xll.VoseMean(I18)</f>
        <v>6.333333333333333</v>
      </c>
      <c r="K18" s="39" cm="1">
        <f t="array" ref="K18">_xll.VoseVariance(I18)</f>
        <v>8.4603174603174605</v>
      </c>
      <c r="L18" s="38">
        <f t="shared" si="0"/>
        <v>0.6333333333333333</v>
      </c>
      <c r="M18" s="39">
        <f t="shared" si="1"/>
        <v>4.456031746031746</v>
      </c>
      <c r="N18" s="40" cm="1">
        <f t="array" aca="1" ref="N18" ca="1">_xll.VoseBernoulli(C18)</f>
        <v>0</v>
      </c>
      <c r="O18" s="41" cm="1">
        <f t="array" aca="1" ref="O18" ca="1">_xll.VoseInput("Risk 9","US$m")+N18*_xll.VoseSimulate(I18)</f>
        <v>0</v>
      </c>
      <c r="P18" s="28"/>
    </row>
    <row r="19" spans="2:16" x14ac:dyDescent="0.45">
      <c r="B19" s="34">
        <v>10</v>
      </c>
      <c r="C19" s="35">
        <v>0.01</v>
      </c>
      <c r="D19" s="25" t="s">
        <v>132</v>
      </c>
      <c r="E19" s="36">
        <v>1</v>
      </c>
      <c r="F19" s="36">
        <v>3</v>
      </c>
      <c r="G19" s="36">
        <v>14</v>
      </c>
      <c r="H19" s="28"/>
      <c r="I19" s="37" t="str" cm="1">
        <f t="array" ref="I19">_xll.VoseTriangleObject(E19,F19,G19)</f>
        <v>VoseTriangle(1,3,14)</v>
      </c>
      <c r="J19" s="38" cm="1">
        <f t="array" ref="J19">_xll.VoseMean(I19)</f>
        <v>6</v>
      </c>
      <c r="K19" s="39" cm="1">
        <f t="array" ref="K19">_xll.VoseVariance(I19)</f>
        <v>8.1666666666666661</v>
      </c>
      <c r="L19" s="38">
        <f t="shared" si="0"/>
        <v>0.06</v>
      </c>
      <c r="M19" s="39">
        <f t="shared" si="1"/>
        <v>0.43806666666666672</v>
      </c>
      <c r="N19" s="40" cm="1">
        <f t="array" aca="1" ref="N19" ca="1">_xll.VoseBernoulli(C19)</f>
        <v>0</v>
      </c>
      <c r="O19" s="41" cm="1">
        <f t="array" aca="1" ref="O19" ca="1">_xll.VoseInput("Risk 10","US$m")+N19*_xll.VoseSimulate(I19)</f>
        <v>0</v>
      </c>
      <c r="P19" s="28"/>
    </row>
    <row r="20" spans="2:16" x14ac:dyDescent="0.45">
      <c r="B20" s="34">
        <v>11</v>
      </c>
      <c r="C20" s="35">
        <v>0.05</v>
      </c>
      <c r="D20" s="25" t="s">
        <v>127</v>
      </c>
      <c r="E20" s="36">
        <v>3</v>
      </c>
      <c r="F20" s="36">
        <v>9</v>
      </c>
      <c r="G20" s="36">
        <v>35</v>
      </c>
      <c r="H20" s="28"/>
      <c r="I20" s="37" t="str" cm="1">
        <f t="array" ref="I20">_xll.VosePERTObject(E20,F20,G20)</f>
        <v>VosePERT(3,9,35)</v>
      </c>
      <c r="J20" s="38" cm="1">
        <f t="array" ref="J20">_xll.VoseMean(I20)</f>
        <v>12.333333333333334</v>
      </c>
      <c r="K20" s="39" cm="1">
        <f t="array" ref="K20">_xll.VoseVariance(I20)</f>
        <v>30.222222222222221</v>
      </c>
      <c r="L20" s="38">
        <f t="shared" si="0"/>
        <v>0.6166666666666667</v>
      </c>
      <c r="M20" s="39">
        <f t="shared" si="1"/>
        <v>8.7363888888888894</v>
      </c>
      <c r="N20" s="40" cm="1">
        <f t="array" aca="1" ref="N20" ca="1">_xll.VoseBernoulli(C20)</f>
        <v>0</v>
      </c>
      <c r="O20" s="41" cm="1">
        <f t="array" aca="1" ref="O20" ca="1">_xll.VoseInput("Risk 11","US$m")+N20*_xll.VoseSimulate(I20)</f>
        <v>0</v>
      </c>
      <c r="P20" s="28"/>
    </row>
    <row r="21" spans="2:16" x14ac:dyDescent="0.45">
      <c r="B21" s="34">
        <v>12</v>
      </c>
      <c r="C21" s="35">
        <v>0.05</v>
      </c>
      <c r="D21" s="25" t="s">
        <v>132</v>
      </c>
      <c r="E21" s="36">
        <v>3</v>
      </c>
      <c r="F21" s="36">
        <v>7</v>
      </c>
      <c r="G21" s="36">
        <v>40</v>
      </c>
      <c r="H21" s="28"/>
      <c r="I21" s="37" t="str" cm="1">
        <f t="array" ref="I21">_xll.VoseTriangleObject(E21,F21,G21)</f>
        <v>VoseTriangle(3,7,40)</v>
      </c>
      <c r="J21" s="38" cm="1">
        <f t="array" ref="J21">_xll.VoseMean(I21)</f>
        <v>16.666666666666668</v>
      </c>
      <c r="K21" s="39" cm="1">
        <f t="array" ref="K21">_xll.VoseVariance(I21)</f>
        <v>68.722222222222229</v>
      </c>
      <c r="L21" s="38">
        <f t="shared" si="0"/>
        <v>0.83333333333333348</v>
      </c>
      <c r="M21" s="39">
        <f t="shared" si="1"/>
        <v>16.63055555555556</v>
      </c>
      <c r="N21" s="40" cm="1">
        <f t="array" aca="1" ref="N21" ca="1">_xll.VoseBernoulli(C21)</f>
        <v>0</v>
      </c>
      <c r="O21" s="41" cm="1">
        <f t="array" aca="1" ref="O21" ca="1">_xll.VoseInput("Risk 12","US$m")+N21*_xll.VoseSimulate(I21)</f>
        <v>0</v>
      </c>
      <c r="P21" s="28"/>
    </row>
    <row r="22" spans="2:16" x14ac:dyDescent="0.45">
      <c r="B22" s="34">
        <v>13</v>
      </c>
      <c r="C22" s="35">
        <v>0.05</v>
      </c>
      <c r="D22" s="25" t="s">
        <v>132</v>
      </c>
      <c r="E22" s="36">
        <v>4</v>
      </c>
      <c r="F22" s="36">
        <v>14</v>
      </c>
      <c r="G22" s="36">
        <v>82</v>
      </c>
      <c r="H22" s="28"/>
      <c r="I22" s="37" t="str" cm="1">
        <f t="array" ref="I22">_xll.VoseTriangleObject(E22,F22,G22)</f>
        <v>VoseTriangle(4,14,82)</v>
      </c>
      <c r="J22" s="38" cm="1">
        <f t="array" ref="J22">_xll.VoseMean(I22)</f>
        <v>33.333333333333336</v>
      </c>
      <c r="K22" s="39" cm="1">
        <f t="array" ref="K22">_xll.VoseVariance(I22)</f>
        <v>300.22222222222223</v>
      </c>
      <c r="L22" s="38">
        <f t="shared" si="0"/>
        <v>1.666666666666667</v>
      </c>
      <c r="M22" s="39">
        <f t="shared" si="1"/>
        <v>67.788888888888891</v>
      </c>
      <c r="N22" s="40" cm="1">
        <f t="array" aca="1" ref="N22" ca="1">_xll.VoseBernoulli(C22)</f>
        <v>0</v>
      </c>
      <c r="O22" s="41" cm="1">
        <f t="array" aca="1" ref="O22" ca="1">_xll.VoseInput("Risk 13","US$m")+N22*_xll.VoseSimulate(I22)</f>
        <v>0</v>
      </c>
      <c r="P22" s="28"/>
    </row>
    <row r="23" spans="2:16" x14ac:dyDescent="0.45">
      <c r="B23" s="34">
        <v>14</v>
      </c>
      <c r="C23" s="35">
        <v>0.5</v>
      </c>
      <c r="D23" s="25" t="s">
        <v>127</v>
      </c>
      <c r="E23" s="36">
        <v>3</v>
      </c>
      <c r="F23" s="36">
        <v>6</v>
      </c>
      <c r="G23" s="36">
        <v>6</v>
      </c>
      <c r="H23" s="28"/>
      <c r="I23" s="37" t="str" cm="1">
        <f t="array" ref="I23">_xll.VosePERTObject(E23,F23,G23)</f>
        <v>VosePERT(3,6,6)</v>
      </c>
      <c r="J23" s="38" cm="1">
        <f t="array" ref="J23">_xll.VoseMean(I23)</f>
        <v>5.5</v>
      </c>
      <c r="K23" s="39" cm="1">
        <f t="array" ref="K23">_xll.VoseVariance(I23)</f>
        <v>0.17857142857142858</v>
      </c>
      <c r="L23" s="38">
        <f t="shared" si="0"/>
        <v>2.75</v>
      </c>
      <c r="M23" s="39">
        <f t="shared" si="1"/>
        <v>7.6517857142857144</v>
      </c>
      <c r="N23" s="40" cm="1">
        <f t="array" aca="1" ref="N23" ca="1">_xll.VoseBernoulli(C23)</f>
        <v>0</v>
      </c>
      <c r="O23" s="41" cm="1">
        <f t="array" aca="1" ref="O23" ca="1">_xll.VoseInput("Risk 14","US$m")+N23*_xll.VoseSimulate(I23)</f>
        <v>0</v>
      </c>
      <c r="P23" s="28"/>
    </row>
    <row r="24" spans="2:16" x14ac:dyDescent="0.45">
      <c r="B24" s="34">
        <v>15</v>
      </c>
      <c r="C24" s="35">
        <v>0.01</v>
      </c>
      <c r="D24" s="25" t="s">
        <v>127</v>
      </c>
      <c r="E24" s="36">
        <v>1</v>
      </c>
      <c r="F24" s="36">
        <v>2</v>
      </c>
      <c r="G24" s="36">
        <v>9</v>
      </c>
      <c r="H24" s="28"/>
      <c r="I24" s="37" t="str" cm="1">
        <f t="array" ref="I24">_xll.VosePERTObject(E24,F24,G24)</f>
        <v>VosePERT(1,2,9)</v>
      </c>
      <c r="J24" s="38" cm="1">
        <f t="array" ref="J24">_xll.VoseMean(I24)</f>
        <v>3</v>
      </c>
      <c r="K24" s="39" cm="1">
        <f t="array" ref="K24">_xll.VoseVariance(I24)</f>
        <v>1.7142857142857142</v>
      </c>
      <c r="L24" s="38">
        <f t="shared" si="0"/>
        <v>0.03</v>
      </c>
      <c r="M24" s="39">
        <f t="shared" si="1"/>
        <v>0.10624285714285715</v>
      </c>
      <c r="N24" s="40" cm="1">
        <f t="array" aca="1" ref="N24" ca="1">_xll.VoseBernoulli(C24)</f>
        <v>0</v>
      </c>
      <c r="O24" s="41" cm="1">
        <f t="array" aca="1" ref="O24" ca="1">_xll.VoseInput("Risk 15","US$m")+N24*_xll.VoseSimulate(I24)</f>
        <v>0</v>
      </c>
      <c r="P24" s="28"/>
    </row>
    <row r="25" spans="2:16" x14ac:dyDescent="0.45">
      <c r="B25" s="34">
        <v>16</v>
      </c>
      <c r="C25" s="35">
        <v>0.3</v>
      </c>
      <c r="D25" s="25" t="s">
        <v>127</v>
      </c>
      <c r="E25" s="36">
        <v>4</v>
      </c>
      <c r="F25" s="36">
        <v>7</v>
      </c>
      <c r="G25" s="36">
        <v>21</v>
      </c>
      <c r="H25" s="28"/>
      <c r="I25" s="37" t="str" cm="1">
        <f t="array" ref="I25">_xll.VosePERTObject(E25,F25,G25)</f>
        <v>VosePERT(4,7,21)</v>
      </c>
      <c r="J25" s="38" cm="1">
        <f t="array" ref="J25">_xll.VoseMean(I25)</f>
        <v>8.8333333333333339</v>
      </c>
      <c r="K25" s="39" cm="1">
        <f t="array" ref="K25">_xll.VoseVariance(I25)</f>
        <v>8.4007936507936503</v>
      </c>
      <c r="L25" s="38">
        <f t="shared" si="0"/>
        <v>2.65</v>
      </c>
      <c r="M25" s="39">
        <f t="shared" si="1"/>
        <v>18.90607142857143</v>
      </c>
      <c r="N25" s="40" cm="1">
        <f t="array" aca="1" ref="N25" ca="1">_xll.VoseBernoulli(C25)</f>
        <v>0</v>
      </c>
      <c r="O25" s="41" cm="1">
        <f t="array" aca="1" ref="O25" ca="1">_xll.VoseInput("Risk 16","US$m")+N25*_xll.VoseSimulate(I25)</f>
        <v>0</v>
      </c>
      <c r="P25" s="28"/>
    </row>
    <row r="26" spans="2:16" x14ac:dyDescent="0.45">
      <c r="B26" s="34">
        <v>17</v>
      </c>
      <c r="C26" s="35">
        <v>0.05</v>
      </c>
      <c r="D26" s="25" t="s">
        <v>132</v>
      </c>
      <c r="E26" s="36">
        <v>0</v>
      </c>
      <c r="F26" s="36">
        <v>1</v>
      </c>
      <c r="G26" s="36">
        <v>4</v>
      </c>
      <c r="H26" s="28"/>
      <c r="I26" s="37" t="str" cm="1">
        <f t="array" ref="I26">_xll.VoseTriangleObject(E26,F26,G26)</f>
        <v>VoseTriangle(0,1,4)</v>
      </c>
      <c r="J26" s="38" cm="1">
        <f t="array" ref="J26">_xll.VoseMean(I26)</f>
        <v>1.6666666666666667</v>
      </c>
      <c r="K26" s="39" cm="1">
        <f t="array" ref="K26">_xll.VoseVariance(I26)</f>
        <v>0.72222222222222221</v>
      </c>
      <c r="L26" s="38">
        <f t="shared" si="0"/>
        <v>8.3333333333333343E-2</v>
      </c>
      <c r="M26" s="39">
        <f t="shared" si="1"/>
        <v>0.1680555555555556</v>
      </c>
      <c r="N26" s="40" cm="1">
        <f t="array" aca="1" ref="N26" ca="1">_xll.VoseBernoulli(C26)</f>
        <v>0</v>
      </c>
      <c r="O26" s="41" cm="1">
        <f t="array" aca="1" ref="O26" ca="1">_xll.VoseInput("Risk 17","US$m")+N26*_xll.VoseSimulate(I26)</f>
        <v>0</v>
      </c>
      <c r="P26" s="28"/>
    </row>
    <row r="27" spans="2:16" x14ac:dyDescent="0.45">
      <c r="B27" s="34">
        <v>18</v>
      </c>
      <c r="C27" s="35">
        <v>1E-3</v>
      </c>
      <c r="D27" s="25" t="s">
        <v>127</v>
      </c>
      <c r="E27" s="36">
        <v>3</v>
      </c>
      <c r="F27" s="36">
        <v>12</v>
      </c>
      <c r="G27" s="36">
        <v>22</v>
      </c>
      <c r="H27" s="28"/>
      <c r="I27" s="37" t="str" cm="1">
        <f t="array" ref="I27">_xll.VosePERTObject(E27,F27,G27)</f>
        <v>VosePERT(3,12,22)</v>
      </c>
      <c r="J27" s="38" cm="1">
        <f t="array" ref="J27">_xll.VoseMean(I27)</f>
        <v>12.166666666666666</v>
      </c>
      <c r="K27" s="39" cm="1">
        <f t="array" ref="K27">_xll.VoseVariance(I27)</f>
        <v>12.876984126984127</v>
      </c>
      <c r="L27" s="38">
        <f t="shared" si="0"/>
        <v>1.2166666666666666E-2</v>
      </c>
      <c r="M27" s="39">
        <f t="shared" si="1"/>
        <v>0.16075673412698413</v>
      </c>
      <c r="N27" s="40" cm="1">
        <f t="array" aca="1" ref="N27" ca="1">_xll.VoseBernoulli(C27)</f>
        <v>0</v>
      </c>
      <c r="O27" s="41" cm="1">
        <f t="array" aca="1" ref="O27" ca="1">_xll.VoseInput("Risk 18","US$m")+N27*_xll.VoseSimulate(I27)</f>
        <v>0</v>
      </c>
      <c r="P27" s="28"/>
    </row>
    <row r="28" spans="2:16" x14ac:dyDescent="0.45">
      <c r="B28" s="34">
        <v>19</v>
      </c>
      <c r="C28" s="35">
        <v>0.2</v>
      </c>
      <c r="D28" s="25" t="s">
        <v>127</v>
      </c>
      <c r="E28" s="36">
        <v>1</v>
      </c>
      <c r="F28" s="36">
        <v>3</v>
      </c>
      <c r="G28" s="36">
        <v>3</v>
      </c>
      <c r="H28" s="28"/>
      <c r="I28" s="37" t="str" cm="1">
        <f t="array" ref="I28">_xll.VosePERTObject(E28,F28,G28)</f>
        <v>VosePERT(1,3,3)</v>
      </c>
      <c r="J28" s="38" cm="1">
        <f t="array" ref="J28">_xll.VoseMean(I28)</f>
        <v>2.6666666666666665</v>
      </c>
      <c r="K28" s="39" cm="1">
        <f t="array" ref="K28">_xll.VoseVariance(I28)</f>
        <v>7.9365079365079402E-2</v>
      </c>
      <c r="L28" s="38">
        <f t="shared" si="0"/>
        <v>0.53333333333333333</v>
      </c>
      <c r="M28" s="39">
        <f t="shared" si="1"/>
        <v>1.1536507936507938</v>
      </c>
      <c r="N28" s="40" cm="1">
        <f t="array" aca="1" ref="N28" ca="1">_xll.VoseBernoulli(C28)</f>
        <v>0</v>
      </c>
      <c r="O28" s="41" cm="1">
        <f t="array" aca="1" ref="O28" ca="1">_xll.VoseInput("Risk 19","US$m")+N28*_xll.VoseSimulate(I28)</f>
        <v>0</v>
      </c>
      <c r="P28" s="28"/>
    </row>
    <row r="29" spans="2:16" x14ac:dyDescent="0.45">
      <c r="B29" s="34">
        <v>20</v>
      </c>
      <c r="C29" s="35">
        <v>1E-3</v>
      </c>
      <c r="D29" s="25" t="s">
        <v>127</v>
      </c>
      <c r="E29" s="36">
        <v>0</v>
      </c>
      <c r="F29" s="36">
        <v>0</v>
      </c>
      <c r="G29" s="36">
        <v>7</v>
      </c>
      <c r="H29" s="28"/>
      <c r="I29" s="37" t="str" cm="1">
        <f t="array" ref="I29">_xll.VosePERTObject(E29,F29,G29)</f>
        <v>VosePERT(0,0,7)</v>
      </c>
      <c r="J29" s="38" cm="1">
        <f t="array" ref="J29">_xll.VoseMean(I29)</f>
        <v>1.1666666666666667</v>
      </c>
      <c r="K29" s="39" cm="1">
        <f t="array" ref="K29">_xll.VoseVariance(I29)</f>
        <v>0.97222222222222221</v>
      </c>
      <c r="L29" s="38">
        <f t="shared" si="0"/>
        <v>1.1666666666666668E-3</v>
      </c>
      <c r="M29" s="39">
        <f t="shared" si="1"/>
        <v>2.3319722222222227E-3</v>
      </c>
      <c r="N29" s="40" cm="1">
        <f t="array" aca="1" ref="N29" ca="1">_xll.VoseBernoulli(C29)</f>
        <v>0</v>
      </c>
      <c r="O29" s="41" cm="1">
        <f t="array" aca="1" ref="O29" ca="1">_xll.VoseInput("Risk 20","US$m")+N29*_xll.VoseSimulate(I29)</f>
        <v>0</v>
      </c>
      <c r="P29" s="28"/>
    </row>
    <row r="30" spans="2:16" x14ac:dyDescent="0.45">
      <c r="B30" s="34">
        <v>21</v>
      </c>
      <c r="C30" s="35">
        <v>0.05</v>
      </c>
      <c r="D30" s="25" t="s">
        <v>127</v>
      </c>
      <c r="E30" s="36">
        <v>4</v>
      </c>
      <c r="F30" s="36">
        <v>13</v>
      </c>
      <c r="G30" s="36">
        <v>68</v>
      </c>
      <c r="H30" s="28"/>
      <c r="I30" s="37" t="str" cm="1">
        <f t="array" ref="I30">_xll.VosePERTObject(E30,F30,G30)</f>
        <v>VosePERT(4,13,68)</v>
      </c>
      <c r="J30" s="38" cm="1">
        <f t="array" ref="J30">_xll.VoseMean(I30)</f>
        <v>20.666666666666668</v>
      </c>
      <c r="K30" s="39" cm="1">
        <f t="array" ref="K30">_xll.VoseVariance(I30)</f>
        <v>112.6984126984127</v>
      </c>
      <c r="L30" s="38">
        <f t="shared" si="0"/>
        <v>1.0333333333333334</v>
      </c>
      <c r="M30" s="39">
        <f t="shared" si="1"/>
        <v>25.922698412698416</v>
      </c>
      <c r="N30" s="40" cm="1">
        <f t="array" aca="1" ref="N30" ca="1">_xll.VoseBernoulli(C30)</f>
        <v>0</v>
      </c>
      <c r="O30" s="41" cm="1">
        <f t="array" aca="1" ref="O30" ca="1">_xll.VoseInput("Risk 21","US$m")+N30*_xll.VoseSimulate(I30)</f>
        <v>0</v>
      </c>
      <c r="P30" s="28"/>
    </row>
    <row r="31" spans="2:16" x14ac:dyDescent="0.45">
      <c r="B31" s="34">
        <v>22</v>
      </c>
      <c r="C31" s="35">
        <v>0.01</v>
      </c>
      <c r="D31" s="25" t="s">
        <v>133</v>
      </c>
      <c r="E31" s="36">
        <v>22</v>
      </c>
      <c r="F31" s="36">
        <v>7</v>
      </c>
      <c r="G31" s="28"/>
      <c r="H31" s="28"/>
      <c r="I31" s="37" t="str" cm="1">
        <f t="array" ref="I31">_xll.VoseNormalObject(E31,F31)</f>
        <v>VoseNormal(22,7)</v>
      </c>
      <c r="J31" s="38" cm="1">
        <f t="array" ref="J31">_xll.VoseMean(I31)</f>
        <v>22</v>
      </c>
      <c r="K31" s="39" cm="1">
        <f t="array" ref="K31">_xll.VoseVariance(I31)</f>
        <v>49</v>
      </c>
      <c r="L31" s="38">
        <f t="shared" si="0"/>
        <v>0.22</v>
      </c>
      <c r="M31" s="39">
        <f t="shared" si="1"/>
        <v>5.281600000000001</v>
      </c>
      <c r="N31" s="40" cm="1">
        <f t="array" aca="1" ref="N31" ca="1">_xll.VoseBernoulli(C31)</f>
        <v>0</v>
      </c>
      <c r="O31" s="41" cm="1">
        <f t="array" aca="1" ref="O31" ca="1">_xll.VoseInput("Risk 22","US$m")+N31*_xll.VoseSimulate(I31)</f>
        <v>0</v>
      </c>
      <c r="P31" s="28"/>
    </row>
    <row r="32" spans="2:16" x14ac:dyDescent="0.45">
      <c r="B32" s="34">
        <v>23</v>
      </c>
      <c r="C32" s="35">
        <v>0.6</v>
      </c>
      <c r="D32" s="25" t="s">
        <v>127</v>
      </c>
      <c r="E32" s="36">
        <v>4</v>
      </c>
      <c r="F32" s="36">
        <v>14</v>
      </c>
      <c r="G32" s="36">
        <v>55</v>
      </c>
      <c r="H32" s="28"/>
      <c r="I32" s="37" t="str" cm="1">
        <f t="array" ref="I32">_xll.VosePERTObject(E32,F32,G32)</f>
        <v>VosePERT(4,14,55)</v>
      </c>
      <c r="J32" s="38" cm="1">
        <f t="array" ref="J32">_xll.VoseMean(I32)</f>
        <v>19.166666666666668</v>
      </c>
      <c r="K32" s="39" cm="1">
        <f t="array" ref="K32">_xll.VoseVariance(I32)</f>
        <v>77.638888888888886</v>
      </c>
      <c r="L32" s="38">
        <f t="shared" si="0"/>
        <v>11.5</v>
      </c>
      <c r="M32" s="39">
        <f t="shared" si="1"/>
        <v>134.75</v>
      </c>
      <c r="N32" s="40" cm="1">
        <f t="array" aca="1" ref="N32" ca="1">_xll.VoseBernoulli(C32)</f>
        <v>0</v>
      </c>
      <c r="O32" s="41" cm="1">
        <f t="array" aca="1" ref="O32" ca="1">_xll.VoseInput("Risk 23","US$m")+N32*_xll.VoseSimulate(I32)</f>
        <v>0</v>
      </c>
      <c r="P32" s="28"/>
    </row>
    <row r="33" spans="2:16" x14ac:dyDescent="0.45">
      <c r="B33" s="34">
        <v>24</v>
      </c>
      <c r="C33" s="35">
        <v>0.5</v>
      </c>
      <c r="D33" s="25" t="s">
        <v>134</v>
      </c>
      <c r="E33" s="36">
        <v>5</v>
      </c>
      <c r="F33" s="36">
        <v>8</v>
      </c>
      <c r="G33" s="36">
        <v>15</v>
      </c>
      <c r="H33" s="36">
        <v>3.5</v>
      </c>
      <c r="I33" s="37" t="str" cm="1">
        <f t="array" ref="I33">_xll.VoseModPERTObject(E33,F33,G33,H33)</f>
        <v>VoseModPERT(5,8,15,3.5)</v>
      </c>
      <c r="J33" s="38" cm="1">
        <f t="array" ref="J33">_xll.VoseMean(I33)</f>
        <v>8.7272727272727266</v>
      </c>
      <c r="K33" s="39" cm="1">
        <f t="array" ref="K33">_xll.VoseVariance(I33)</f>
        <v>3.5969485060394151</v>
      </c>
      <c r="L33" s="38">
        <f t="shared" si="0"/>
        <v>4.3636363636363633</v>
      </c>
      <c r="M33" s="39">
        <f t="shared" si="1"/>
        <v>20.839796567069293</v>
      </c>
      <c r="N33" s="40" cm="1">
        <f t="array" aca="1" ref="N33" ca="1">_xll.VoseBernoulli(C33)</f>
        <v>0</v>
      </c>
      <c r="O33" s="41" cm="1">
        <f t="array" aca="1" ref="O33" ca="1">_xll.VoseInput("Risk 24","US$m")+N33*_xll.VoseSimulate(I33)</f>
        <v>0</v>
      </c>
      <c r="P33" s="28"/>
    </row>
    <row r="34" spans="2:16" x14ac:dyDescent="0.45">
      <c r="B34" s="34">
        <v>25</v>
      </c>
      <c r="C34" s="35">
        <v>1E-3</v>
      </c>
      <c r="D34" s="25" t="s">
        <v>127</v>
      </c>
      <c r="E34" s="36">
        <v>2</v>
      </c>
      <c r="F34" s="36">
        <v>2</v>
      </c>
      <c r="G34" s="36">
        <v>5</v>
      </c>
      <c r="H34" s="28"/>
      <c r="I34" s="37" t="str" cm="1">
        <f t="array" ref="I34">_xll.VosePERTObject(E34,F34,G34)</f>
        <v>VosePERT(2,2,5)</v>
      </c>
      <c r="J34" s="38" cm="1">
        <f t="array" ref="J34">_xll.VoseMean(I34)</f>
        <v>2.5</v>
      </c>
      <c r="K34" s="39" cm="1">
        <f t="array" ref="K34">_xll.VoseVariance(I34)</f>
        <v>0.17857142857142858</v>
      </c>
      <c r="L34" s="38">
        <f t="shared" si="0"/>
        <v>2.5000000000000001E-3</v>
      </c>
      <c r="M34" s="39">
        <f t="shared" si="1"/>
        <v>6.42232142857143E-3</v>
      </c>
      <c r="N34" s="40" cm="1">
        <f t="array" aca="1" ref="N34" ca="1">_xll.VoseBernoulli(C34)</f>
        <v>0</v>
      </c>
      <c r="O34" s="41" cm="1">
        <f t="array" aca="1" ref="O34" ca="1">_xll.VoseInput("Risk 25","US$m")+N34*_xll.VoseSimulate(I34)</f>
        <v>0</v>
      </c>
      <c r="P34" s="28"/>
    </row>
    <row r="35" spans="2:16" x14ac:dyDescent="0.45">
      <c r="B35" s="34">
        <v>26</v>
      </c>
      <c r="C35" s="35">
        <v>0.05</v>
      </c>
      <c r="D35" s="25" t="s">
        <v>134</v>
      </c>
      <c r="E35" s="36">
        <v>2</v>
      </c>
      <c r="F35" s="36">
        <v>5</v>
      </c>
      <c r="G35" s="36">
        <v>15</v>
      </c>
      <c r="H35" s="36">
        <v>2.5</v>
      </c>
      <c r="I35" s="37" t="str" cm="1">
        <f t="array" ref="I35">_xll.VoseModPERTObject(E35,F35,G35,H35)</f>
        <v>VoseModPERT(2,5,15,2.5)</v>
      </c>
      <c r="J35" s="38" cm="1">
        <f t="array" ref="J35">_xll.VoseMean(I35)</f>
        <v>6.5555555555555554</v>
      </c>
      <c r="K35" s="39" cm="1">
        <f t="array" ref="K35">_xll.VoseVariance(I35)</f>
        <v>6.9943883277216603</v>
      </c>
      <c r="L35" s="38">
        <f t="shared" si="0"/>
        <v>0.32777777777777778</v>
      </c>
      <c r="M35" s="39">
        <f t="shared" si="1"/>
        <v>2.3910465768799103</v>
      </c>
      <c r="N35" s="40" cm="1">
        <f t="array" aca="1" ref="N35" ca="1">_xll.VoseBernoulli(C35)</f>
        <v>0</v>
      </c>
      <c r="O35" s="41" cm="1">
        <f t="array" aca="1" ref="O35" ca="1">_xll.VoseInput("Risk 26","US$m")+N35*_xll.VoseSimulate(I35)</f>
        <v>0</v>
      </c>
      <c r="P35" s="28"/>
    </row>
    <row r="36" spans="2:16" x14ac:dyDescent="0.45">
      <c r="B36" s="34">
        <v>27</v>
      </c>
      <c r="C36" s="35">
        <v>0.2</v>
      </c>
      <c r="D36" s="25" t="s">
        <v>127</v>
      </c>
      <c r="E36" s="36">
        <v>3</v>
      </c>
      <c r="F36" s="36">
        <v>11</v>
      </c>
      <c r="G36" s="36">
        <v>54</v>
      </c>
      <c r="H36" s="28"/>
      <c r="I36" s="37" t="str" cm="1">
        <f t="array" ref="I36">_xll.VosePERTObject(E36,F36,G36)</f>
        <v>VosePERT(3,11,54)</v>
      </c>
      <c r="J36" s="38" cm="1">
        <f t="array" ref="J36">_xll.VoseMean(I36)</f>
        <v>16.833333333333332</v>
      </c>
      <c r="K36" s="39" cm="1">
        <f t="array" ref="K36">_xll.VoseVariance(I36)</f>
        <v>73.448412698412696</v>
      </c>
      <c r="L36" s="38">
        <f t="shared" si="0"/>
        <v>3.3666666666666667</v>
      </c>
      <c r="M36" s="39">
        <f t="shared" si="1"/>
        <v>60.027460317460324</v>
      </c>
      <c r="N36" s="40" cm="1">
        <f t="array" aca="1" ref="N36" ca="1">_xll.VoseBernoulli(C36)</f>
        <v>0</v>
      </c>
      <c r="O36" s="41" cm="1">
        <f t="array" aca="1" ref="O36" ca="1">_xll.VoseInput("Risk 27","US$m")+N36*_xll.VoseSimulate(I36)</f>
        <v>0</v>
      </c>
      <c r="P36" s="28"/>
    </row>
    <row r="37" spans="2:16" x14ac:dyDescent="0.45">
      <c r="B37" s="34">
        <v>28</v>
      </c>
      <c r="C37" s="35">
        <v>0.2</v>
      </c>
      <c r="D37" s="25" t="s">
        <v>132</v>
      </c>
      <c r="E37" s="36">
        <v>0</v>
      </c>
      <c r="F37" s="36">
        <v>2</v>
      </c>
      <c r="G37" s="36">
        <v>7</v>
      </c>
      <c r="H37" s="28"/>
      <c r="I37" s="37" t="str" cm="1">
        <f t="array" ref="I37">_xll.VoseTriangleObject(E37,F37,G37)</f>
        <v>VoseTriangle(0,2,7)</v>
      </c>
      <c r="J37" s="38" cm="1">
        <f t="array" ref="J37">_xll.VoseMean(I37)</f>
        <v>3</v>
      </c>
      <c r="K37" s="39" cm="1">
        <f t="array" ref="K37">_xll.VoseVariance(I37)</f>
        <v>2.1666666666666665</v>
      </c>
      <c r="L37" s="38">
        <f t="shared" si="0"/>
        <v>0.60000000000000009</v>
      </c>
      <c r="M37" s="39">
        <f t="shared" si="1"/>
        <v>1.8733333333333337</v>
      </c>
      <c r="N37" s="40" cm="1">
        <f t="array" aca="1" ref="N37" ca="1">_xll.VoseBernoulli(C37)</f>
        <v>0</v>
      </c>
      <c r="O37" s="41" cm="1">
        <f t="array" aca="1" ref="O37" ca="1">_xll.VoseInput("Risk 28","US$m")+N37*_xll.VoseSimulate(I37)</f>
        <v>0</v>
      </c>
      <c r="P37" s="28"/>
    </row>
    <row r="38" spans="2:16" x14ac:dyDescent="0.45">
      <c r="B38" s="34">
        <v>29</v>
      </c>
      <c r="C38" s="35">
        <v>0.3</v>
      </c>
      <c r="D38" s="25" t="s">
        <v>132</v>
      </c>
      <c r="E38" s="36">
        <v>5</v>
      </c>
      <c r="F38" s="36">
        <v>19</v>
      </c>
      <c r="G38" s="36">
        <v>111</v>
      </c>
      <c r="H38" s="28"/>
      <c r="I38" s="37" t="str" cm="1">
        <f t="array" ref="I38">_xll.VoseTriangleObject(E38,F38,G38)</f>
        <v>VoseTriangle(5,19,111)</v>
      </c>
      <c r="J38" s="38" cm="1">
        <f t="array" ref="J38">_xll.VoseMean(I38)</f>
        <v>45</v>
      </c>
      <c r="K38" s="39" cm="1">
        <f t="array" ref="K38">_xll.VoseVariance(I38)</f>
        <v>552.66666666666663</v>
      </c>
      <c r="L38" s="38">
        <f t="shared" si="0"/>
        <v>13.5</v>
      </c>
      <c r="M38" s="39">
        <f t="shared" si="1"/>
        <v>591.04999999999995</v>
      </c>
      <c r="N38" s="40" cm="1">
        <f t="array" aca="1" ref="N38" ca="1">_xll.VoseBernoulli(C38)</f>
        <v>0</v>
      </c>
      <c r="O38" s="41" cm="1">
        <f t="array" aca="1" ref="O38" ca="1">_xll.VoseInput("Risk 29","US$m")+N38*_xll.VoseSimulate(I38)</f>
        <v>0</v>
      </c>
      <c r="P38" s="28"/>
    </row>
    <row r="39" spans="2:16" x14ac:dyDescent="0.45">
      <c r="B39" s="34">
        <v>30</v>
      </c>
      <c r="C39" s="35">
        <v>0.05</v>
      </c>
      <c r="D39" s="25" t="s">
        <v>127</v>
      </c>
      <c r="E39" s="36">
        <v>5</v>
      </c>
      <c r="F39" s="36">
        <v>16</v>
      </c>
      <c r="G39" s="36">
        <v>93</v>
      </c>
      <c r="H39" s="28"/>
      <c r="I39" s="37" t="str" cm="1">
        <f t="array" ref="I39">_xll.VosePERTObject(E39,F39,G39)</f>
        <v>VosePERT(5,16,93)</v>
      </c>
      <c r="J39" s="38" cm="1">
        <f t="array" ref="J39">_xll.VoseMean(I39)</f>
        <v>27</v>
      </c>
      <c r="K39" s="39" cm="1">
        <f t="array" ref="K39">_xll.VoseVariance(I39)</f>
        <v>207.42857142857142</v>
      </c>
      <c r="L39" s="38">
        <f t="shared" si="0"/>
        <v>1.35</v>
      </c>
      <c r="M39" s="39">
        <f t="shared" si="1"/>
        <v>44.998928571428571</v>
      </c>
      <c r="N39" s="40" cm="1">
        <f t="array" aca="1" ref="N39" ca="1">_xll.VoseBernoulli(C39)</f>
        <v>0</v>
      </c>
      <c r="O39" s="41" cm="1">
        <f t="array" aca="1" ref="O39" ca="1">_xll.VoseInput("Risk 30","US$m")+N39*_xll.VoseSimulate(I39)</f>
        <v>0</v>
      </c>
      <c r="P39" s="28"/>
    </row>
    <row r="40" spans="2:16" x14ac:dyDescent="0.45">
      <c r="B40" s="34">
        <v>31</v>
      </c>
      <c r="C40" s="35">
        <v>0.2</v>
      </c>
      <c r="D40" s="25" t="s">
        <v>127</v>
      </c>
      <c r="E40" s="36">
        <v>5</v>
      </c>
      <c r="F40" s="36">
        <v>13</v>
      </c>
      <c r="G40" s="36">
        <v>68</v>
      </c>
      <c r="H40" s="28"/>
      <c r="I40" s="37" t="str" cm="1">
        <f t="array" ref="I40">_xll.VosePERTObject(E40,F40,G40)</f>
        <v>VosePERT(5,13,68)</v>
      </c>
      <c r="J40" s="38" cm="1">
        <f t="array" ref="J40">_xll.VoseMean(I40)</f>
        <v>20.833333333333332</v>
      </c>
      <c r="K40" s="39" cm="1">
        <f t="array" ref="K40">_xll.VoseVariance(I40)</f>
        <v>106.68650793650794</v>
      </c>
      <c r="L40" s="38">
        <f t="shared" si="0"/>
        <v>4.166666666666667</v>
      </c>
      <c r="M40" s="39">
        <f t="shared" si="1"/>
        <v>90.781746031746025</v>
      </c>
      <c r="N40" s="40" cm="1">
        <f t="array" aca="1" ref="N40" ca="1">_xll.VoseBernoulli(C40)</f>
        <v>0</v>
      </c>
      <c r="O40" s="41" cm="1">
        <f t="array" aca="1" ref="O40" ca="1">_xll.VoseInput("Risk 31","US$m")+N40*_xll.VoseSimulate(I40)</f>
        <v>0</v>
      </c>
      <c r="P40" s="28"/>
    </row>
    <row r="41" spans="2:16" x14ac:dyDescent="0.45">
      <c r="B41" s="34">
        <v>32</v>
      </c>
      <c r="C41" s="35">
        <v>0.3</v>
      </c>
      <c r="D41" s="25" t="s">
        <v>127</v>
      </c>
      <c r="E41" s="36">
        <v>1</v>
      </c>
      <c r="F41" s="36">
        <v>2</v>
      </c>
      <c r="G41" s="36">
        <v>11</v>
      </c>
      <c r="H41" s="28"/>
      <c r="I41" s="37" t="str" cm="1">
        <f t="array" ref="I41">_xll.VosePERTObject(E41,F41,G41)</f>
        <v>VosePERT(1,2,11)</v>
      </c>
      <c r="J41" s="38" cm="1">
        <f t="array" ref="J41">_xll.VoseMean(I41)</f>
        <v>3.3333333333333335</v>
      </c>
      <c r="K41" s="39" cm="1">
        <f t="array" ref="K41">_xll.VoseVariance(I41)</f>
        <v>2.5555555555555558</v>
      </c>
      <c r="L41" s="38">
        <f t="shared" si="0"/>
        <v>1</v>
      </c>
      <c r="M41" s="39">
        <f t="shared" si="1"/>
        <v>3.1</v>
      </c>
      <c r="N41" s="40" cm="1">
        <f t="array" aca="1" ref="N41" ca="1">_xll.VoseBernoulli(C41)</f>
        <v>0</v>
      </c>
      <c r="O41" s="41" cm="1">
        <f t="array" aca="1" ref="O41" ca="1">_xll.VoseInput("Risk 32","US$m")+N41*_xll.VoseSimulate(I41)</f>
        <v>0</v>
      </c>
      <c r="P41" s="28"/>
    </row>
    <row r="42" spans="2:16" x14ac:dyDescent="0.45">
      <c r="B42" s="34">
        <v>33</v>
      </c>
      <c r="C42" s="35">
        <v>0.2</v>
      </c>
      <c r="D42" s="25" t="s">
        <v>127</v>
      </c>
      <c r="E42" s="36">
        <v>0</v>
      </c>
      <c r="F42" s="36">
        <v>3</v>
      </c>
      <c r="G42" s="36">
        <v>9</v>
      </c>
      <c r="H42" s="28"/>
      <c r="I42" s="37" t="str" cm="1">
        <f t="array" ref="I42">_xll.VosePERTObject(E42,F42,G42)</f>
        <v>VosePERT(0,3,9)</v>
      </c>
      <c r="J42" s="38" cm="1">
        <f t="array" ref="J42">_xll.VoseMean(I42)</f>
        <v>3.5</v>
      </c>
      <c r="K42" s="39" cm="1">
        <f t="array" ref="K42">_xll.VoseVariance(I42)</f>
        <v>2.75</v>
      </c>
      <c r="L42" s="38">
        <f t="shared" ref="L42:L73" si="2">C42*J42</f>
        <v>0.70000000000000007</v>
      </c>
      <c r="M42" s="39">
        <f t="shared" ref="M42:M73" si="3">C42*K42+C42*(1-C42)*J42^2</f>
        <v>2.5100000000000007</v>
      </c>
      <c r="N42" s="40" cm="1">
        <f t="array" aca="1" ref="N42" ca="1">_xll.VoseBernoulli(C42)</f>
        <v>0</v>
      </c>
      <c r="O42" s="41" cm="1">
        <f t="array" aca="1" ref="O42" ca="1">_xll.VoseInput("Risk 33","US$m")+N42*_xll.VoseSimulate(I42)</f>
        <v>0</v>
      </c>
      <c r="P42" s="28"/>
    </row>
    <row r="43" spans="2:16" x14ac:dyDescent="0.45">
      <c r="B43" s="34">
        <v>34</v>
      </c>
      <c r="C43" s="35">
        <v>0.1</v>
      </c>
      <c r="D43" s="25" t="s">
        <v>132</v>
      </c>
      <c r="E43" s="36">
        <v>2</v>
      </c>
      <c r="F43" s="36">
        <v>3</v>
      </c>
      <c r="G43" s="36">
        <v>5</v>
      </c>
      <c r="H43" s="28"/>
      <c r="I43" s="37" t="str" cm="1">
        <f t="array" ref="I43">_xll.VoseTriangleObject(E43,F43,G43)</f>
        <v>VoseTriangle(2,3,5)</v>
      </c>
      <c r="J43" s="38" cm="1">
        <f t="array" ref="J43">_xll.VoseMean(I43)</f>
        <v>3.3333333333333335</v>
      </c>
      <c r="K43" s="39" cm="1">
        <f t="array" ref="K43">_xll.VoseVariance(I43)</f>
        <v>0.3888888888888889</v>
      </c>
      <c r="L43" s="38">
        <f t="shared" si="2"/>
        <v>0.33333333333333337</v>
      </c>
      <c r="M43" s="39">
        <f t="shared" si="3"/>
        <v>1.0388888888888892</v>
      </c>
      <c r="N43" s="40" cm="1">
        <f t="array" aca="1" ref="N43" ca="1">_xll.VoseBernoulli(C43)</f>
        <v>0</v>
      </c>
      <c r="O43" s="41" cm="1">
        <f t="array" aca="1" ref="O43" ca="1">_xll.VoseInput("Risk 34","US$m")+N43*_xll.VoseSimulate(I43)</f>
        <v>0</v>
      </c>
      <c r="P43" s="28"/>
    </row>
    <row r="44" spans="2:16" x14ac:dyDescent="0.45">
      <c r="B44" s="34">
        <v>35</v>
      </c>
      <c r="C44" s="35">
        <v>0.1</v>
      </c>
      <c r="D44" s="25" t="s">
        <v>127</v>
      </c>
      <c r="E44" s="36">
        <v>2</v>
      </c>
      <c r="F44" s="36">
        <v>2</v>
      </c>
      <c r="G44" s="36">
        <v>5</v>
      </c>
      <c r="H44" s="28"/>
      <c r="I44" s="37" t="str" cm="1">
        <f t="array" ref="I44">_xll.VosePERTObject(E44,F44,G44)</f>
        <v>VosePERT(2,2,5)</v>
      </c>
      <c r="J44" s="38" cm="1">
        <f t="array" ref="J44">_xll.VoseMean(I44)</f>
        <v>2.5</v>
      </c>
      <c r="K44" s="39" cm="1">
        <f t="array" ref="K44">_xll.VoseVariance(I44)</f>
        <v>0.17857142857142858</v>
      </c>
      <c r="L44" s="38">
        <f t="shared" si="2"/>
        <v>0.25</v>
      </c>
      <c r="M44" s="39">
        <f t="shared" si="3"/>
        <v>0.58035714285714302</v>
      </c>
      <c r="N44" s="40" cm="1">
        <f t="array" aca="1" ref="N44" ca="1">_xll.VoseBernoulli(C44)</f>
        <v>0</v>
      </c>
      <c r="O44" s="41" cm="1">
        <f t="array" aca="1" ref="O44" ca="1">_xll.VoseInput("Risk 35","US$m")+N44*_xll.VoseSimulate(I44)</f>
        <v>0</v>
      </c>
      <c r="P44" s="28"/>
    </row>
    <row r="45" spans="2:16" x14ac:dyDescent="0.45">
      <c r="B45" s="34">
        <v>36</v>
      </c>
      <c r="C45" s="35">
        <v>0.1</v>
      </c>
      <c r="D45" s="25" t="s">
        <v>127</v>
      </c>
      <c r="E45" s="36">
        <v>1</v>
      </c>
      <c r="F45" s="36">
        <v>1</v>
      </c>
      <c r="G45" s="36">
        <v>3</v>
      </c>
      <c r="H45" s="28"/>
      <c r="I45" s="37" t="str" cm="1">
        <f t="array" ref="I45">_xll.VosePERTObject(E45,F45,G45)</f>
        <v>VosePERT(1,1,3)</v>
      </c>
      <c r="J45" s="38" cm="1">
        <f t="array" ref="J45">_xll.VoseMean(I45)</f>
        <v>1.3333333333333333</v>
      </c>
      <c r="K45" s="39" cm="1">
        <f t="array" ref="K45">_xll.VoseVariance(I45)</f>
        <v>7.9365079365079347E-2</v>
      </c>
      <c r="L45" s="38">
        <f t="shared" si="2"/>
        <v>0.13333333333333333</v>
      </c>
      <c r="M45" s="39">
        <f t="shared" si="3"/>
        <v>0.16793650793650794</v>
      </c>
      <c r="N45" s="40" cm="1">
        <f t="array" aca="1" ref="N45" ca="1">_xll.VoseBernoulli(C45)</f>
        <v>1</v>
      </c>
      <c r="O45" s="41" cm="1">
        <f t="array" aca="1" ref="O45" ca="1">_xll.VoseInput("Risk 36","US$m")+N45*_xll.VoseSimulate(I45)</f>
        <v>1.0749795310932708</v>
      </c>
      <c r="P45" s="28"/>
    </row>
    <row r="46" spans="2:16" x14ac:dyDescent="0.45">
      <c r="B46" s="34">
        <v>37</v>
      </c>
      <c r="C46" s="35">
        <v>1E-3</v>
      </c>
      <c r="D46" s="25" t="s">
        <v>134</v>
      </c>
      <c r="E46" s="36">
        <v>4</v>
      </c>
      <c r="F46" s="36">
        <v>6</v>
      </c>
      <c r="G46" s="36">
        <v>32</v>
      </c>
      <c r="H46" s="36">
        <v>3</v>
      </c>
      <c r="I46" s="37" t="str" cm="1">
        <f t="array" ref="I46">_xll.VoseModPERTObject(E46,F46,G46,H46)</f>
        <v>VoseModPERT(4,6,32,3)</v>
      </c>
      <c r="J46" s="38" cm="1">
        <f t="array" ref="J46">_xll.VoseMean(I46)</f>
        <v>10.8</v>
      </c>
      <c r="K46" s="39" cm="1">
        <f t="array" ref="K46">_xll.VoseVariance(I46)</f>
        <v>24.026666666666667</v>
      </c>
      <c r="L46" s="38">
        <f t="shared" si="2"/>
        <v>1.0800000000000001E-2</v>
      </c>
      <c r="M46" s="39">
        <f t="shared" si="3"/>
        <v>0.14055002666666669</v>
      </c>
      <c r="N46" s="40" cm="1">
        <f t="array" aca="1" ref="N46" ca="1">_xll.VoseBernoulli(C46)</f>
        <v>0</v>
      </c>
      <c r="O46" s="41" cm="1">
        <f t="array" aca="1" ref="O46" ca="1">_xll.VoseInput("Risk 37","US$m")+N46*_xll.VoseSimulate(I46)</f>
        <v>0</v>
      </c>
      <c r="P46" s="28"/>
    </row>
    <row r="47" spans="2:16" x14ac:dyDescent="0.45">
      <c r="B47" s="34">
        <v>38</v>
      </c>
      <c r="C47" s="35">
        <v>0.05</v>
      </c>
      <c r="D47" s="25" t="s">
        <v>134</v>
      </c>
      <c r="E47" s="36">
        <v>1</v>
      </c>
      <c r="F47" s="36">
        <v>4</v>
      </c>
      <c r="G47" s="36">
        <v>5</v>
      </c>
      <c r="H47" s="36">
        <v>3</v>
      </c>
      <c r="I47" s="37" t="str" cm="1">
        <f t="array" ref="I47">_xll.VoseModPERTObject(E47,F47,G47,H47)</f>
        <v>VoseModPERT(1,4,5,3)</v>
      </c>
      <c r="J47" s="38" cm="1">
        <f t="array" ref="J47">_xll.VoseMean(I47)</f>
        <v>3.6</v>
      </c>
      <c r="K47" s="39" cm="1">
        <f t="array" ref="K47">_xll.VoseVariance(I47)</f>
        <v>0.60666666666666658</v>
      </c>
      <c r="L47" s="38">
        <f t="shared" si="2"/>
        <v>0.18000000000000002</v>
      </c>
      <c r="M47" s="39">
        <f t="shared" si="3"/>
        <v>0.64593333333333336</v>
      </c>
      <c r="N47" s="40" cm="1">
        <f t="array" aca="1" ref="N47" ca="1">_xll.VoseBernoulli(C47)</f>
        <v>0</v>
      </c>
      <c r="O47" s="41" cm="1">
        <f t="array" aca="1" ref="O47" ca="1">_xll.VoseInput("Risk 38","US$m")+N47*_xll.VoseSimulate(I47)</f>
        <v>0</v>
      </c>
      <c r="P47" s="28"/>
    </row>
    <row r="48" spans="2:16" x14ac:dyDescent="0.45">
      <c r="B48" s="34">
        <v>39</v>
      </c>
      <c r="C48" s="35">
        <v>0.01</v>
      </c>
      <c r="D48" s="25" t="s">
        <v>127</v>
      </c>
      <c r="E48" s="36">
        <v>1</v>
      </c>
      <c r="F48" s="36">
        <v>2</v>
      </c>
      <c r="G48" s="36">
        <v>8</v>
      </c>
      <c r="H48" s="28"/>
      <c r="I48" s="37" t="str" cm="1">
        <f t="array" ref="I48">_xll.VosePERTObject(E48,F48,G48)</f>
        <v>VosePERT(1,2,8)</v>
      </c>
      <c r="J48" s="38" cm="1">
        <f t="array" ref="J48">_xll.VoseMean(I48)</f>
        <v>2.8333333333333335</v>
      </c>
      <c r="K48" s="39" cm="1">
        <f t="array" ref="K48">_xll.VoseVariance(I48)</f>
        <v>1.353174603174603</v>
      </c>
      <c r="L48" s="38">
        <f t="shared" si="2"/>
        <v>2.8333333333333335E-2</v>
      </c>
      <c r="M48" s="39">
        <f t="shared" si="3"/>
        <v>9.3006746031746051E-2</v>
      </c>
      <c r="N48" s="40" cm="1">
        <f t="array" aca="1" ref="N48" ca="1">_xll.VoseBernoulli(C48)</f>
        <v>0</v>
      </c>
      <c r="O48" s="41" cm="1">
        <f t="array" aca="1" ref="O48" ca="1">_xll.VoseInput("Risk 39","US$m")+N48*_xll.VoseSimulate(I48)</f>
        <v>0</v>
      </c>
      <c r="P48" s="28"/>
    </row>
    <row r="49" spans="2:16" x14ac:dyDescent="0.45">
      <c r="B49" s="34">
        <v>40</v>
      </c>
      <c r="C49" s="35">
        <v>0.6</v>
      </c>
      <c r="D49" s="25" t="s">
        <v>127</v>
      </c>
      <c r="E49" s="36">
        <v>4</v>
      </c>
      <c r="F49" s="36">
        <v>14</v>
      </c>
      <c r="G49" s="36">
        <v>45</v>
      </c>
      <c r="H49" s="28"/>
      <c r="I49" s="37" t="str" cm="1">
        <f t="array" ref="I49">_xll.VosePERTObject(E49,F49,G49)</f>
        <v>VosePERT(4,14,45)</v>
      </c>
      <c r="J49" s="38" cm="1">
        <f t="array" ref="J49">_xll.VoseMean(I49)</f>
        <v>17.5</v>
      </c>
      <c r="K49" s="39" cm="1">
        <f t="array" ref="K49">_xll.VoseVariance(I49)</f>
        <v>53.035714285714285</v>
      </c>
      <c r="L49" s="38">
        <f t="shared" si="2"/>
        <v>10.5</v>
      </c>
      <c r="M49" s="39">
        <f t="shared" si="3"/>
        <v>105.32142857142857</v>
      </c>
      <c r="N49" s="40" cm="1">
        <f t="array" aca="1" ref="N49" ca="1">_xll.VoseBernoulli(C49)</f>
        <v>1</v>
      </c>
      <c r="O49" s="41" cm="1">
        <f t="array" aca="1" ref="O49" ca="1">_xll.VoseInput("Risk 40","US$m")+N49*_xll.VoseSimulate(I49)</f>
        <v>14.370847924875122</v>
      </c>
      <c r="P49" s="28"/>
    </row>
    <row r="50" spans="2:16" x14ac:dyDescent="0.45">
      <c r="B50" s="34">
        <v>41</v>
      </c>
      <c r="C50" s="35">
        <v>0.01</v>
      </c>
      <c r="D50" s="25" t="s">
        <v>127</v>
      </c>
      <c r="E50" s="36">
        <v>1</v>
      </c>
      <c r="F50" s="36">
        <v>2</v>
      </c>
      <c r="G50" s="36">
        <v>5</v>
      </c>
      <c r="H50" s="28"/>
      <c r="I50" s="37" t="str" cm="1">
        <f t="array" ref="I50">_xll.VosePERTObject(E50,F50,G50)</f>
        <v>VosePERT(1,2,5)</v>
      </c>
      <c r="J50" s="38" cm="1">
        <f t="array" ref="J50">_xll.VoseMean(I50)</f>
        <v>2.3333333333333335</v>
      </c>
      <c r="K50" s="39" cm="1">
        <f t="array" ref="K50">_xll.VoseVariance(I50)</f>
        <v>0.50793650793650802</v>
      </c>
      <c r="L50" s="38">
        <f t="shared" si="2"/>
        <v>2.3333333333333334E-2</v>
      </c>
      <c r="M50" s="39">
        <f t="shared" si="3"/>
        <v>5.8979365079365097E-2</v>
      </c>
      <c r="N50" s="40" cm="1">
        <f t="array" aca="1" ref="N50" ca="1">_xll.VoseBernoulli(C50)</f>
        <v>0</v>
      </c>
      <c r="O50" s="41" cm="1">
        <f t="array" aca="1" ref="O50" ca="1">_xll.VoseInput("Risk 41","US$m")+N50*_xll.VoseSimulate(I50)</f>
        <v>0</v>
      </c>
      <c r="P50" s="28"/>
    </row>
    <row r="51" spans="2:16" x14ac:dyDescent="0.45">
      <c r="B51" s="34">
        <v>42</v>
      </c>
      <c r="C51" s="35">
        <v>0.05</v>
      </c>
      <c r="D51" s="25" t="s">
        <v>127</v>
      </c>
      <c r="E51" s="36">
        <v>1</v>
      </c>
      <c r="F51" s="36">
        <v>3</v>
      </c>
      <c r="G51" s="36">
        <v>8</v>
      </c>
      <c r="H51" s="28"/>
      <c r="I51" s="37" t="str" cm="1">
        <f t="array" ref="I51">_xll.VosePERTObject(E51,F51,G51)</f>
        <v>VosePERT(1,3,8)</v>
      </c>
      <c r="J51" s="38" cm="1">
        <f t="array" ref="J51">_xll.VoseMean(I51)</f>
        <v>3.5</v>
      </c>
      <c r="K51" s="39" cm="1">
        <f t="array" ref="K51">_xll.VoseVariance(I51)</f>
        <v>1.6071428571428572</v>
      </c>
      <c r="L51" s="38">
        <f t="shared" si="2"/>
        <v>0.17500000000000002</v>
      </c>
      <c r="M51" s="39">
        <f t="shared" si="3"/>
        <v>0.66223214285714294</v>
      </c>
      <c r="N51" s="40" cm="1">
        <f t="array" aca="1" ref="N51" ca="1">_xll.VoseBernoulli(C51)</f>
        <v>0</v>
      </c>
      <c r="O51" s="41" cm="1">
        <f t="array" aca="1" ref="O51" ca="1">_xll.VoseInput("Risk 42","US$m")+N51*_xll.VoseSimulate(I51)</f>
        <v>0</v>
      </c>
      <c r="P51" s="28"/>
    </row>
    <row r="52" spans="2:16" x14ac:dyDescent="0.45">
      <c r="B52" s="34">
        <v>43</v>
      </c>
      <c r="C52" s="35">
        <v>0.3</v>
      </c>
      <c r="D52" s="25" t="s">
        <v>134</v>
      </c>
      <c r="E52" s="36">
        <v>0</v>
      </c>
      <c r="F52" s="36">
        <v>2</v>
      </c>
      <c r="G52" s="36">
        <v>7</v>
      </c>
      <c r="H52" s="36">
        <v>3</v>
      </c>
      <c r="I52" s="37" t="str" cm="1">
        <f t="array" ref="I52">_xll.VoseModPERTObject(E52,F52,G52,H52)</f>
        <v>VoseModPERT(0,2,7,3)</v>
      </c>
      <c r="J52" s="38" cm="1">
        <f t="array" ref="J52">_xll.VoseMean(I52)</f>
        <v>2.6</v>
      </c>
      <c r="K52" s="39" cm="1">
        <f t="array" ref="K52">_xll.VoseVariance(I52)</f>
        <v>1.906666666666667</v>
      </c>
      <c r="L52" s="38">
        <f t="shared" si="2"/>
        <v>0.78</v>
      </c>
      <c r="M52" s="39">
        <f t="shared" si="3"/>
        <v>1.9916000000000003</v>
      </c>
      <c r="N52" s="40" cm="1">
        <f t="array" aca="1" ref="N52" ca="1">_xll.VoseBernoulli(C52)</f>
        <v>0</v>
      </c>
      <c r="O52" s="41" cm="1">
        <f t="array" aca="1" ref="O52" ca="1">_xll.VoseInput("Risk 43","US$m")+N52*_xll.VoseSimulate(I52)</f>
        <v>0</v>
      </c>
      <c r="P52" s="28"/>
    </row>
    <row r="53" spans="2:16" x14ac:dyDescent="0.45">
      <c r="B53" s="34">
        <v>44</v>
      </c>
      <c r="C53" s="35">
        <v>0.05</v>
      </c>
      <c r="D53" s="25" t="s">
        <v>127</v>
      </c>
      <c r="E53" s="36">
        <v>5</v>
      </c>
      <c r="F53" s="36">
        <v>6</v>
      </c>
      <c r="G53" s="36">
        <v>11</v>
      </c>
      <c r="H53" s="28"/>
      <c r="I53" s="37" t="str" cm="1">
        <f t="array" ref="I53">_xll.VosePERTObject(E53,F53,G53)</f>
        <v>VosePERT(5,6,11)</v>
      </c>
      <c r="J53" s="38" cm="1">
        <f t="array" ref="J53">_xll.VoseMean(I53)</f>
        <v>6.666666666666667</v>
      </c>
      <c r="K53" s="39" cm="1">
        <f t="array" ref="K53">_xll.VoseVariance(I53)</f>
        <v>1.0317460317460319</v>
      </c>
      <c r="L53" s="38">
        <f t="shared" si="2"/>
        <v>0.33333333333333337</v>
      </c>
      <c r="M53" s="39">
        <f t="shared" si="3"/>
        <v>2.162698412698413</v>
      </c>
      <c r="N53" s="40" cm="1">
        <f t="array" aca="1" ref="N53" ca="1">_xll.VoseBernoulli(C53)</f>
        <v>0</v>
      </c>
      <c r="O53" s="41" cm="1">
        <f t="array" aca="1" ref="O53" ca="1">_xll.VoseInput("Risk 44","US$m")+N53*_xll.VoseSimulate(I53)</f>
        <v>0</v>
      </c>
      <c r="P53" s="28"/>
    </row>
    <row r="54" spans="2:16" x14ac:dyDescent="0.45">
      <c r="B54" s="34">
        <v>45</v>
      </c>
      <c r="C54" s="35">
        <v>0.4</v>
      </c>
      <c r="D54" s="25" t="s">
        <v>127</v>
      </c>
      <c r="E54" s="36">
        <v>5</v>
      </c>
      <c r="F54" s="36">
        <v>20</v>
      </c>
      <c r="G54" s="36">
        <v>117</v>
      </c>
      <c r="H54" s="28"/>
      <c r="I54" s="37" t="str" cm="1">
        <f t="array" ref="I54">_xll.VosePERTObject(E54,F54,G54)</f>
        <v>VosePERT(5,20,117)</v>
      </c>
      <c r="J54" s="38" cm="1">
        <f t="array" ref="J54">_xll.VoseMean(I54)</f>
        <v>33.666666666666664</v>
      </c>
      <c r="K54" s="39" cm="1">
        <f t="array" ref="K54">_xll.VoseVariance(I54)</f>
        <v>341.26984126984132</v>
      </c>
      <c r="L54" s="38">
        <f t="shared" si="2"/>
        <v>13.466666666666667</v>
      </c>
      <c r="M54" s="39">
        <f t="shared" si="3"/>
        <v>408.53460317460315</v>
      </c>
      <c r="N54" s="40" cm="1">
        <f t="array" aca="1" ref="N54" ca="1">_xll.VoseBernoulli(C54)</f>
        <v>0</v>
      </c>
      <c r="O54" s="41" cm="1">
        <f t="array" aca="1" ref="O54" ca="1">_xll.VoseInput("Risk 45","US$m")+N54*_xll.VoseSimulate(I54)</f>
        <v>0</v>
      </c>
      <c r="P54" s="28"/>
    </row>
    <row r="55" spans="2:16" x14ac:dyDescent="0.45">
      <c r="B55" s="34">
        <v>46</v>
      </c>
      <c r="C55" s="35">
        <v>0.3</v>
      </c>
      <c r="D55" s="25" t="s">
        <v>127</v>
      </c>
      <c r="E55" s="36">
        <v>2</v>
      </c>
      <c r="F55" s="36">
        <v>3</v>
      </c>
      <c r="G55" s="36">
        <v>6</v>
      </c>
      <c r="H55" s="28"/>
      <c r="I55" s="37" t="str" cm="1">
        <f t="array" ref="I55">_xll.VosePERTObject(E55,F55,G55)</f>
        <v>VosePERT(2,3,6)</v>
      </c>
      <c r="J55" s="38" cm="1">
        <f t="array" ref="J55">_xll.VoseMean(I55)</f>
        <v>3.3333333333333335</v>
      </c>
      <c r="K55" s="39" cm="1">
        <f t="array" ref="K55">_xll.VoseVariance(I55)</f>
        <v>0.50793650793650802</v>
      </c>
      <c r="L55" s="38">
        <f t="shared" si="2"/>
        <v>1</v>
      </c>
      <c r="M55" s="39">
        <f t="shared" si="3"/>
        <v>2.4857142857142858</v>
      </c>
      <c r="N55" s="40" cm="1">
        <f t="array" aca="1" ref="N55" ca="1">_xll.VoseBernoulli(C55)</f>
        <v>0</v>
      </c>
      <c r="O55" s="41" cm="1">
        <f t="array" aca="1" ref="O55" ca="1">_xll.VoseInput("Risk 46","US$m")+N55*_xll.VoseSimulate(I55)</f>
        <v>0</v>
      </c>
      <c r="P55" s="28"/>
    </row>
    <row r="56" spans="2:16" x14ac:dyDescent="0.45">
      <c r="B56" s="34">
        <v>47</v>
      </c>
      <c r="C56" s="35">
        <v>0.2</v>
      </c>
      <c r="D56" s="25" t="s">
        <v>127</v>
      </c>
      <c r="E56" s="36">
        <v>2</v>
      </c>
      <c r="F56" s="36">
        <v>7</v>
      </c>
      <c r="G56" s="36">
        <v>14</v>
      </c>
      <c r="H56" s="28"/>
      <c r="I56" s="37" t="str" cm="1">
        <f t="array" ref="I56">_xll.VosePERTObject(E56,F56,G56)</f>
        <v>VosePERT(2,7,14)</v>
      </c>
      <c r="J56" s="38" cm="1">
        <f t="array" ref="J56">_xll.VoseMean(I56)</f>
        <v>7.333333333333333</v>
      </c>
      <c r="K56" s="39" cm="1">
        <f t="array" ref="K56">_xll.VoseVariance(I56)</f>
        <v>5.07936507936508</v>
      </c>
      <c r="L56" s="38">
        <f t="shared" si="2"/>
        <v>1.4666666666666668</v>
      </c>
      <c r="M56" s="39">
        <f t="shared" si="3"/>
        <v>9.6203174603174606</v>
      </c>
      <c r="N56" s="40" cm="1">
        <f t="array" aca="1" ref="N56" ca="1">_xll.VoseBernoulli(C56)</f>
        <v>0</v>
      </c>
      <c r="O56" s="41" cm="1">
        <f t="array" aca="1" ref="O56" ca="1">_xll.VoseInput("Risk 47","US$m")+N56*_xll.VoseSimulate(I56)</f>
        <v>0</v>
      </c>
      <c r="P56" s="28"/>
    </row>
    <row r="57" spans="2:16" x14ac:dyDescent="0.45">
      <c r="B57" s="34">
        <v>48</v>
      </c>
      <c r="C57" s="35">
        <v>1E-3</v>
      </c>
      <c r="D57" s="25" t="s">
        <v>127</v>
      </c>
      <c r="E57" s="36">
        <v>0</v>
      </c>
      <c r="F57" s="36">
        <v>0</v>
      </c>
      <c r="G57" s="36">
        <v>19</v>
      </c>
      <c r="H57" s="28"/>
      <c r="I57" s="37" t="str" cm="1">
        <f t="array" ref="I57">_xll.VosePERTObject(E57,F57,G57)</f>
        <v>VosePERT(0,0,19)</v>
      </c>
      <c r="J57" s="38" cm="1">
        <f t="array" ref="J57">_xll.VoseMean(I57)</f>
        <v>3.1666666666666665</v>
      </c>
      <c r="K57" s="39" cm="1">
        <f t="array" ref="K57">_xll.VoseVariance(I57)</f>
        <v>7.1626984126984121</v>
      </c>
      <c r="L57" s="38">
        <f t="shared" si="2"/>
        <v>3.1666666666666666E-3</v>
      </c>
      <c r="M57" s="39">
        <f t="shared" si="3"/>
        <v>1.7180448412698411E-2</v>
      </c>
      <c r="N57" s="40" cm="1">
        <f t="array" aca="1" ref="N57" ca="1">_xll.VoseBernoulli(C57)</f>
        <v>0</v>
      </c>
      <c r="O57" s="41" cm="1">
        <f t="array" aca="1" ref="O57" ca="1">_xll.VoseInput("Risk 48","US$m")+N57*_xll.VoseSimulate(I57)</f>
        <v>0</v>
      </c>
      <c r="P57" s="28"/>
    </row>
    <row r="58" spans="2:16" x14ac:dyDescent="0.45">
      <c r="B58" s="34">
        <v>49</v>
      </c>
      <c r="C58" s="35">
        <v>0.01</v>
      </c>
      <c r="D58" s="25" t="s">
        <v>134</v>
      </c>
      <c r="E58" s="36">
        <v>1</v>
      </c>
      <c r="F58" s="36">
        <v>2</v>
      </c>
      <c r="G58" s="36">
        <v>6</v>
      </c>
      <c r="H58" s="36">
        <v>3.5</v>
      </c>
      <c r="I58" s="37" t="str" cm="1">
        <f t="array" ref="I58">_xll.VoseModPERTObject(E58,F58,G58,H58)</f>
        <v>VoseModPERT(1,2,6,3.5)</v>
      </c>
      <c r="J58" s="38" cm="1">
        <f t="array" ref="J58">_xll.VoseMean(I58)</f>
        <v>2.5454545454545454</v>
      </c>
      <c r="K58" s="39" cm="1">
        <f t="array" ref="K58">_xll.VoseVariance(I58)</f>
        <v>0.82136045772409405</v>
      </c>
      <c r="L58" s="38">
        <f t="shared" si="2"/>
        <v>2.5454545454545455E-2</v>
      </c>
      <c r="M58" s="39">
        <f t="shared" si="3"/>
        <v>7.2359059122695482E-2</v>
      </c>
      <c r="N58" s="40" cm="1">
        <f t="array" aca="1" ref="N58" ca="1">_xll.VoseBernoulli(C58)</f>
        <v>0</v>
      </c>
      <c r="O58" s="41" cm="1">
        <f t="array" aca="1" ref="O58" ca="1">_xll.VoseInput("Risk 49","US$m")+N58*_xll.VoseSimulate(I58)</f>
        <v>0</v>
      </c>
      <c r="P58" s="28"/>
    </row>
    <row r="59" spans="2:16" x14ac:dyDescent="0.45">
      <c r="B59" s="34">
        <v>50</v>
      </c>
      <c r="C59" s="35">
        <v>0.7</v>
      </c>
      <c r="D59" s="25" t="s">
        <v>127</v>
      </c>
      <c r="E59" s="36">
        <v>4</v>
      </c>
      <c r="F59" s="36">
        <v>8</v>
      </c>
      <c r="G59" s="36">
        <v>28</v>
      </c>
      <c r="H59" s="28"/>
      <c r="I59" s="37" t="str" cm="1">
        <f t="array" ref="I59">_xll.VosePERTObject(E59,F59,G59)</f>
        <v>VosePERT(4,8,28)</v>
      </c>
      <c r="J59" s="38" cm="1">
        <f t="array" ref="J59">_xll.VoseMean(I59)</f>
        <v>10.666666666666666</v>
      </c>
      <c r="K59" s="39" cm="1">
        <f t="array" ref="K59">_xll.VoseVariance(I59)</f>
        <v>16.50793650793651</v>
      </c>
      <c r="L59" s="38">
        <f t="shared" si="2"/>
        <v>7.4666666666666659</v>
      </c>
      <c r="M59" s="39">
        <f t="shared" si="3"/>
        <v>35.448888888888888</v>
      </c>
      <c r="N59" s="40" cm="1">
        <f t="array" aca="1" ref="N59" ca="1">_xll.VoseBernoulli(C59)</f>
        <v>0</v>
      </c>
      <c r="O59" s="41" cm="1">
        <f t="array" aca="1" ref="O59" ca="1">_xll.VoseInput("Risk 50","US$m")+N59*_xll.VoseSimulate(I59)</f>
        <v>0</v>
      </c>
      <c r="P59" s="28"/>
    </row>
    <row r="60" spans="2:16" x14ac:dyDescent="0.45">
      <c r="B60" s="34">
        <v>51</v>
      </c>
      <c r="C60" s="35">
        <v>0.1</v>
      </c>
      <c r="D60" s="25" t="s">
        <v>134</v>
      </c>
      <c r="E60" s="36">
        <v>2</v>
      </c>
      <c r="F60" s="36">
        <v>5</v>
      </c>
      <c r="G60" s="36">
        <v>12</v>
      </c>
      <c r="H60" s="36">
        <v>4.5</v>
      </c>
      <c r="I60" s="37" t="str" cm="1">
        <f t="array" ref="I60">_xll.VoseModPERTObject(E60,F60,G60,H60)</f>
        <v>VoseModPERT(2,5,12,4.5)</v>
      </c>
      <c r="J60" s="38" cm="1">
        <f t="array" ref="J60">_xll.VoseMean(I60)</f>
        <v>5.615384615384615</v>
      </c>
      <c r="K60" s="39" cm="1">
        <f t="array" ref="K60">_xll.VoseVariance(I60)</f>
        <v>3.0777120315581854</v>
      </c>
      <c r="L60" s="38">
        <f t="shared" si="2"/>
        <v>0.56153846153846154</v>
      </c>
      <c r="M60" s="39">
        <f t="shared" si="3"/>
        <v>3.1457001972386589</v>
      </c>
      <c r="N60" s="40" cm="1">
        <f t="array" aca="1" ref="N60" ca="1">_xll.VoseBernoulli(C60)</f>
        <v>0</v>
      </c>
      <c r="O60" s="41" cm="1">
        <f t="array" aca="1" ref="O60" ca="1">_xll.VoseInput("Risk 51","US$m")+N60*_xll.VoseSimulate(I60)</f>
        <v>0</v>
      </c>
      <c r="P60" s="28"/>
    </row>
    <row r="61" spans="2:16" x14ac:dyDescent="0.45">
      <c r="B61" s="34">
        <v>52</v>
      </c>
      <c r="C61" s="35">
        <v>1E-3</v>
      </c>
      <c r="D61" s="25" t="s">
        <v>127</v>
      </c>
      <c r="E61" s="36">
        <v>1</v>
      </c>
      <c r="F61" s="36">
        <v>3</v>
      </c>
      <c r="G61" s="36">
        <v>13</v>
      </c>
      <c r="H61" s="28"/>
      <c r="I61" s="37" t="str" cm="1">
        <f t="array" ref="I61">_xll.VosePERTObject(E61,F61,G61)</f>
        <v>VosePERT(1,3,13)</v>
      </c>
      <c r="J61" s="38" cm="1">
        <f t="array" ref="J61">_xll.VoseMean(I61)</f>
        <v>4.333333333333333</v>
      </c>
      <c r="K61" s="39" cm="1">
        <f t="array" ref="K61">_xll.VoseVariance(I61)</f>
        <v>4.1269841269841274</v>
      </c>
      <c r="L61" s="38">
        <f t="shared" si="2"/>
        <v>4.3333333333333331E-3</v>
      </c>
      <c r="M61" s="39">
        <f t="shared" si="3"/>
        <v>2.2885984126984126E-2</v>
      </c>
      <c r="N61" s="40" cm="1">
        <f t="array" aca="1" ref="N61" ca="1">_xll.VoseBernoulli(C61)</f>
        <v>0</v>
      </c>
      <c r="O61" s="41" cm="1">
        <f t="array" aca="1" ref="O61" ca="1">_xll.VoseInput("Risk 52","US$m")+N61*_xll.VoseSimulate(I61)</f>
        <v>0</v>
      </c>
      <c r="P61" s="28"/>
    </row>
    <row r="62" spans="2:16" x14ac:dyDescent="0.45">
      <c r="B62" s="34">
        <v>53</v>
      </c>
      <c r="C62" s="35">
        <v>0.2</v>
      </c>
      <c r="D62" s="25" t="s">
        <v>127</v>
      </c>
      <c r="E62" s="36">
        <v>1</v>
      </c>
      <c r="F62" s="36">
        <v>1</v>
      </c>
      <c r="G62" s="36">
        <v>6</v>
      </c>
      <c r="H62" s="28"/>
      <c r="I62" s="37" t="str" cm="1">
        <f t="array" ref="I62">_xll.VosePERTObject(E62,F62,G62)</f>
        <v>VosePERT(1,1,6)</v>
      </c>
      <c r="J62" s="38" cm="1">
        <f t="array" ref="J62">_xll.VoseMean(I62)</f>
        <v>1.8333333333333333</v>
      </c>
      <c r="K62" s="39" cm="1">
        <f t="array" ref="K62">_xll.VoseVariance(I62)</f>
        <v>0.49603174603174605</v>
      </c>
      <c r="L62" s="38">
        <f t="shared" si="2"/>
        <v>0.3666666666666667</v>
      </c>
      <c r="M62" s="39">
        <f t="shared" si="3"/>
        <v>0.63698412698412699</v>
      </c>
      <c r="N62" s="40" cm="1">
        <f t="array" aca="1" ref="N62" ca="1">_xll.VoseBernoulli(C62)</f>
        <v>0</v>
      </c>
      <c r="O62" s="41" cm="1">
        <f t="array" aca="1" ref="O62" ca="1">_xll.VoseInput("Risk 53","US$m")+N62*_xll.VoseSimulate(I62)</f>
        <v>0</v>
      </c>
      <c r="P62" s="28"/>
    </row>
    <row r="63" spans="2:16" x14ac:dyDescent="0.45">
      <c r="B63" s="34">
        <v>54</v>
      </c>
      <c r="C63" s="35">
        <v>0.01</v>
      </c>
      <c r="D63" s="25" t="s">
        <v>134</v>
      </c>
      <c r="E63" s="36">
        <v>1</v>
      </c>
      <c r="F63" s="36">
        <v>3</v>
      </c>
      <c r="G63" s="36">
        <v>9</v>
      </c>
      <c r="H63" s="36">
        <v>3.5</v>
      </c>
      <c r="I63" s="37" t="str" cm="1">
        <f t="array" ref="I63">_xll.VoseModPERTObject(E63,F63,G63,H63)</f>
        <v>VoseModPERT(1,3,9,3.5)</v>
      </c>
      <c r="J63" s="38" cm="1">
        <f t="array" ref="J63">_xll.VoseMean(I63)</f>
        <v>3.7272727272727271</v>
      </c>
      <c r="K63" s="39" cm="1">
        <f t="array" ref="K63">_xll.VoseVariance(I63)</f>
        <v>2.2123331214240305</v>
      </c>
      <c r="L63" s="38">
        <f t="shared" si="2"/>
        <v>3.727272727272727E-2</v>
      </c>
      <c r="M63" s="39">
        <f t="shared" si="3"/>
        <v>0.15965969485060394</v>
      </c>
      <c r="N63" s="40" cm="1">
        <f t="array" aca="1" ref="N63" ca="1">_xll.VoseBernoulli(C63)</f>
        <v>0</v>
      </c>
      <c r="O63" s="41" cm="1">
        <f t="array" aca="1" ref="O63" ca="1">_xll.VoseInput("Risk 54","US$m")+N63*_xll.VoseSimulate(I63)</f>
        <v>0</v>
      </c>
      <c r="P63" s="28"/>
    </row>
    <row r="64" spans="2:16" x14ac:dyDescent="0.45">
      <c r="B64" s="34">
        <v>55</v>
      </c>
      <c r="C64" s="35">
        <v>0.01</v>
      </c>
      <c r="D64" s="25" t="s">
        <v>127</v>
      </c>
      <c r="E64" s="36">
        <v>2</v>
      </c>
      <c r="F64" s="36">
        <v>3</v>
      </c>
      <c r="G64" s="36">
        <v>9</v>
      </c>
      <c r="H64" s="28"/>
      <c r="I64" s="37" t="str" cm="1">
        <f t="array" ref="I64">_xll.VosePERTObject(E64,F64,G64)</f>
        <v>VosePERT(2,3,9)</v>
      </c>
      <c r="J64" s="38" cm="1">
        <f t="array" ref="J64">_xll.VoseMean(I64)</f>
        <v>3.8333333333333335</v>
      </c>
      <c r="K64" s="39" cm="1">
        <f t="array" ref="K64">_xll.VoseVariance(I64)</f>
        <v>1.353174603174603</v>
      </c>
      <c r="L64" s="38">
        <f t="shared" si="2"/>
        <v>3.8333333333333337E-2</v>
      </c>
      <c r="M64" s="39">
        <f t="shared" si="3"/>
        <v>0.15900674603174605</v>
      </c>
      <c r="N64" s="40" cm="1">
        <f t="array" aca="1" ref="N64" ca="1">_xll.VoseBernoulli(C64)</f>
        <v>0</v>
      </c>
      <c r="O64" s="41" cm="1">
        <f t="array" aca="1" ref="O64" ca="1">_xll.VoseInput("Risk 55","US$m")+N64*_xll.VoseSimulate(I64)</f>
        <v>0</v>
      </c>
      <c r="P64" s="28"/>
    </row>
    <row r="65" spans="2:16" x14ac:dyDescent="0.45">
      <c r="B65" s="34">
        <v>56</v>
      </c>
      <c r="C65" s="35">
        <v>0.2</v>
      </c>
      <c r="D65" s="25" t="s">
        <v>127</v>
      </c>
      <c r="E65" s="36">
        <v>3</v>
      </c>
      <c r="F65" s="36">
        <v>4</v>
      </c>
      <c r="G65" s="36">
        <v>11</v>
      </c>
      <c r="H65" s="28"/>
      <c r="I65" s="37" t="str" cm="1">
        <f t="array" ref="I65">_xll.VosePERTObject(E65,F65,G65)</f>
        <v>VosePERT(3,4,11)</v>
      </c>
      <c r="J65" s="38" cm="1">
        <f t="array" ref="J65">_xll.VoseMean(I65)</f>
        <v>5</v>
      </c>
      <c r="K65" s="39" cm="1">
        <f t="array" ref="K65">_xll.VoseVariance(I65)</f>
        <v>1.7142857142857142</v>
      </c>
      <c r="L65" s="38">
        <f t="shared" si="2"/>
        <v>1</v>
      </c>
      <c r="M65" s="39">
        <f t="shared" si="3"/>
        <v>4.3428571428571434</v>
      </c>
      <c r="N65" s="40" cm="1">
        <f t="array" aca="1" ref="N65" ca="1">_xll.VoseBernoulli(C65)</f>
        <v>0</v>
      </c>
      <c r="O65" s="41" cm="1">
        <f t="array" aca="1" ref="O65" ca="1">_xll.VoseInput("Risk 56","US$m")+N65*_xll.VoseSimulate(I65)</f>
        <v>0</v>
      </c>
      <c r="P65" s="28"/>
    </row>
    <row r="66" spans="2:16" x14ac:dyDescent="0.45">
      <c r="B66" s="34">
        <v>57</v>
      </c>
      <c r="C66" s="35">
        <v>0.1</v>
      </c>
      <c r="D66" s="25" t="s">
        <v>127</v>
      </c>
      <c r="E66" s="36">
        <v>2</v>
      </c>
      <c r="F66" s="36">
        <v>7</v>
      </c>
      <c r="G66" s="36">
        <v>18</v>
      </c>
      <c r="H66" s="28"/>
      <c r="I66" s="37" t="str" cm="1">
        <f t="array" ref="I66">_xll.VosePERTObject(E66,F66,G66)</f>
        <v>VosePERT(2,7,18)</v>
      </c>
      <c r="J66" s="38" cm="1">
        <f t="array" ref="J66">_xll.VoseMean(I66)</f>
        <v>8</v>
      </c>
      <c r="K66" s="39" cm="1">
        <f t="array" ref="K66">_xll.VoseVariance(I66)</f>
        <v>8.5714285714285712</v>
      </c>
      <c r="L66" s="38">
        <f t="shared" si="2"/>
        <v>0.8</v>
      </c>
      <c r="M66" s="39">
        <f t="shared" si="3"/>
        <v>6.6171428571428574</v>
      </c>
      <c r="N66" s="40" cm="1">
        <f t="array" aca="1" ref="N66" ca="1">_xll.VoseBernoulli(C66)</f>
        <v>0</v>
      </c>
      <c r="O66" s="41" cm="1">
        <f t="array" aca="1" ref="O66" ca="1">_xll.VoseInput("Risk 57","US$m")+N66*_xll.VoseSimulate(I66)</f>
        <v>0</v>
      </c>
      <c r="P66" s="28"/>
    </row>
    <row r="67" spans="2:16" x14ac:dyDescent="0.45">
      <c r="B67" s="34">
        <v>58</v>
      </c>
      <c r="C67" s="35">
        <v>0.2</v>
      </c>
      <c r="D67" s="25" t="s">
        <v>127</v>
      </c>
      <c r="E67" s="36">
        <v>4</v>
      </c>
      <c r="F67" s="36">
        <v>4</v>
      </c>
      <c r="G67" s="36">
        <v>13</v>
      </c>
      <c r="H67" s="28"/>
      <c r="I67" s="37" t="str" cm="1">
        <f t="array" ref="I67">_xll.VosePERTObject(E67,F67,G67)</f>
        <v>VosePERT(4,4,13)</v>
      </c>
      <c r="J67" s="38" cm="1">
        <f t="array" ref="J67">_xll.VoseMean(I67)</f>
        <v>5.5</v>
      </c>
      <c r="K67" s="39" cm="1">
        <f t="array" ref="K67">_xll.VoseVariance(I67)</f>
        <v>1.6071428571428572</v>
      </c>
      <c r="L67" s="38">
        <f t="shared" si="2"/>
        <v>1.1000000000000001</v>
      </c>
      <c r="M67" s="39">
        <f t="shared" si="3"/>
        <v>5.1614285714285719</v>
      </c>
      <c r="N67" s="40" cm="1">
        <f t="array" aca="1" ref="N67" ca="1">_xll.VoseBernoulli(C67)</f>
        <v>0</v>
      </c>
      <c r="O67" s="41" cm="1">
        <f t="array" aca="1" ref="O67" ca="1">_xll.VoseInput("Risk 58","US$m")+N67*_xll.VoseSimulate(I67)</f>
        <v>0</v>
      </c>
      <c r="P67" s="28"/>
    </row>
    <row r="68" spans="2:16" x14ac:dyDescent="0.45">
      <c r="B68" s="34">
        <v>59</v>
      </c>
      <c r="C68" s="35">
        <v>0.01</v>
      </c>
      <c r="D68" s="25" t="s">
        <v>132</v>
      </c>
      <c r="E68" s="36">
        <v>2</v>
      </c>
      <c r="F68" s="36">
        <v>4</v>
      </c>
      <c r="G68" s="36">
        <v>17</v>
      </c>
      <c r="H68" s="28"/>
      <c r="I68" s="37" t="str" cm="1">
        <f t="array" ref="I68">_xll.VoseTriangleObject(E68,F68,G68)</f>
        <v>VoseTriangle(2,4,17)</v>
      </c>
      <c r="J68" s="38" cm="1">
        <f t="array" ref="J68">_xll.VoseMean(I68)</f>
        <v>7.666666666666667</v>
      </c>
      <c r="K68" s="39" cm="1">
        <f t="array" ref="K68">_xll.VoseVariance(I68)</f>
        <v>11.055555555555555</v>
      </c>
      <c r="L68" s="38">
        <f t="shared" si="2"/>
        <v>7.6666666666666675E-2</v>
      </c>
      <c r="M68" s="39">
        <f t="shared" si="3"/>
        <v>0.6924555555555556</v>
      </c>
      <c r="N68" s="40" cm="1">
        <f t="array" aca="1" ref="N68" ca="1">_xll.VoseBernoulli(C68)</f>
        <v>0</v>
      </c>
      <c r="O68" s="41" cm="1">
        <f t="array" aca="1" ref="O68" ca="1">_xll.VoseInput("Risk 59","US$m")+N68*_xll.VoseSimulate(I68)</f>
        <v>0</v>
      </c>
      <c r="P68" s="28"/>
    </row>
    <row r="69" spans="2:16" x14ac:dyDescent="0.45">
      <c r="B69" s="34">
        <v>60</v>
      </c>
      <c r="C69" s="35">
        <v>0.05</v>
      </c>
      <c r="D69" s="25" t="s">
        <v>127</v>
      </c>
      <c r="E69" s="36">
        <v>2</v>
      </c>
      <c r="F69" s="36">
        <v>7</v>
      </c>
      <c r="G69" s="36">
        <v>22</v>
      </c>
      <c r="H69" s="28"/>
      <c r="I69" s="37" t="str" cm="1">
        <f t="array" ref="I69">_xll.VosePERTObject(E69,F69,G69)</f>
        <v>VosePERT(2,7,22)</v>
      </c>
      <c r="J69" s="38" cm="1">
        <f t="array" ref="J69">_xll.VoseMean(I69)</f>
        <v>8.6666666666666661</v>
      </c>
      <c r="K69" s="39" cm="1">
        <f t="array" ref="K69">_xll.VoseVariance(I69)</f>
        <v>12.698412698412698</v>
      </c>
      <c r="L69" s="38">
        <f t="shared" si="2"/>
        <v>0.43333333333333335</v>
      </c>
      <c r="M69" s="39">
        <f t="shared" si="3"/>
        <v>4.2026984126984122</v>
      </c>
      <c r="N69" s="40" cm="1">
        <f t="array" aca="1" ref="N69" ca="1">_xll.VoseBernoulli(C69)</f>
        <v>1</v>
      </c>
      <c r="O69" s="41" cm="1">
        <f t="array" aca="1" ref="O69" ca="1">_xll.VoseInput("Risk 60","US$m")+N69*_xll.VoseSimulate(I69)</f>
        <v>18.583049381775549</v>
      </c>
      <c r="P69" s="28"/>
    </row>
    <row r="70" spans="2:16" x14ac:dyDescent="0.45">
      <c r="B70" s="34">
        <v>61</v>
      </c>
      <c r="C70" s="35">
        <v>0.2</v>
      </c>
      <c r="D70" s="25" t="s">
        <v>127</v>
      </c>
      <c r="E70" s="36">
        <v>1</v>
      </c>
      <c r="F70" s="36">
        <v>1</v>
      </c>
      <c r="G70" s="36">
        <v>7</v>
      </c>
      <c r="H70" s="28"/>
      <c r="I70" s="37" t="str" cm="1">
        <f t="array" ref="I70">_xll.VosePERTObject(E70,F70,G70)</f>
        <v>VosePERT(1,1,7)</v>
      </c>
      <c r="J70" s="38" cm="1">
        <f t="array" ref="J70">_xll.VoseMean(I70)</f>
        <v>2</v>
      </c>
      <c r="K70" s="39" cm="1">
        <f t="array" ref="K70">_xll.VoseVariance(I70)</f>
        <v>0.7142857142857143</v>
      </c>
      <c r="L70" s="38">
        <f t="shared" si="2"/>
        <v>0.4</v>
      </c>
      <c r="M70" s="39">
        <f t="shared" si="3"/>
        <v>0.78285714285714303</v>
      </c>
      <c r="N70" s="40" cm="1">
        <f t="array" aca="1" ref="N70" ca="1">_xll.VoseBernoulli(C70)</f>
        <v>0</v>
      </c>
      <c r="O70" s="41" cm="1">
        <f t="array" aca="1" ref="O70" ca="1">_xll.VoseInput("Risk 61","US$m")+N70*_xll.VoseSimulate(I70)</f>
        <v>0</v>
      </c>
      <c r="P70" s="28"/>
    </row>
    <row r="71" spans="2:16" x14ac:dyDescent="0.45">
      <c r="B71" s="34">
        <v>62</v>
      </c>
      <c r="C71" s="35">
        <v>0.01</v>
      </c>
      <c r="D71" s="25" t="s">
        <v>132</v>
      </c>
      <c r="E71" s="36">
        <v>5</v>
      </c>
      <c r="F71" s="36">
        <v>13</v>
      </c>
      <c r="G71" s="36">
        <v>74</v>
      </c>
      <c r="H71" s="28"/>
      <c r="I71" s="37" t="str" cm="1">
        <f t="array" ref="I71">_xll.VoseTriangleObject(E71,F71,G71)</f>
        <v>VoseTriangle(5,13,74)</v>
      </c>
      <c r="J71" s="38" cm="1">
        <f t="array" ref="J71">_xll.VoseMean(I71)</f>
        <v>30.666666666666668</v>
      </c>
      <c r="K71" s="39" cm="1">
        <f t="array" ref="K71">_xll.VoseVariance(I71)</f>
        <v>237.38888888888889</v>
      </c>
      <c r="L71" s="38">
        <f t="shared" si="2"/>
        <v>0.3066666666666667</v>
      </c>
      <c r="M71" s="39">
        <f t="shared" si="3"/>
        <v>11.68428888888889</v>
      </c>
      <c r="N71" s="40" cm="1">
        <f t="array" aca="1" ref="N71" ca="1">_xll.VoseBernoulli(C71)</f>
        <v>0</v>
      </c>
      <c r="O71" s="41" cm="1">
        <f t="array" aca="1" ref="O71" ca="1">_xll.VoseInput("Risk 62","US$m")+N71*_xll.VoseSimulate(I71)</f>
        <v>0</v>
      </c>
      <c r="P71" s="28"/>
    </row>
    <row r="72" spans="2:16" x14ac:dyDescent="0.45">
      <c r="B72" s="34">
        <v>63</v>
      </c>
      <c r="C72" s="35">
        <v>0.05</v>
      </c>
      <c r="D72" s="25" t="s">
        <v>127</v>
      </c>
      <c r="E72" s="36">
        <v>3</v>
      </c>
      <c r="F72" s="36">
        <v>5</v>
      </c>
      <c r="G72" s="36">
        <v>21</v>
      </c>
      <c r="H72" s="28"/>
      <c r="I72" s="37" t="str" cm="1">
        <f t="array" ref="I72">_xll.VosePERTObject(E72,F72,G72)</f>
        <v>VosePERT(3,5,21)</v>
      </c>
      <c r="J72" s="38" cm="1">
        <f t="array" ref="J72">_xll.VoseMean(I72)</f>
        <v>7.333333333333333</v>
      </c>
      <c r="K72" s="39" cm="1">
        <f t="array" ref="K72">_xll.VoseVariance(I72)</f>
        <v>8.4603174603174605</v>
      </c>
      <c r="L72" s="38">
        <f t="shared" si="2"/>
        <v>0.3666666666666667</v>
      </c>
      <c r="M72" s="39">
        <f t="shared" si="3"/>
        <v>2.9774603174603174</v>
      </c>
      <c r="N72" s="40" cm="1">
        <f t="array" aca="1" ref="N72" ca="1">_xll.VoseBernoulli(C72)</f>
        <v>0</v>
      </c>
      <c r="O72" s="41" cm="1">
        <f t="array" aca="1" ref="O72" ca="1">_xll.VoseInput("Risk 63","US$m")+N72*_xll.VoseSimulate(I72)</f>
        <v>0</v>
      </c>
      <c r="P72" s="28"/>
    </row>
    <row r="73" spans="2:16" x14ac:dyDescent="0.45">
      <c r="B73" s="34">
        <v>64</v>
      </c>
      <c r="C73" s="35">
        <v>0.2</v>
      </c>
      <c r="D73" s="25" t="s">
        <v>132</v>
      </c>
      <c r="E73" s="36">
        <v>3</v>
      </c>
      <c r="F73" s="36">
        <v>6</v>
      </c>
      <c r="G73" s="36">
        <v>14</v>
      </c>
      <c r="H73" s="28"/>
      <c r="I73" s="37" t="str" cm="1">
        <f t="array" ref="I73">_xll.VoseTriangleObject(E73,F73,G73)</f>
        <v>VoseTriangle(3,6,14)</v>
      </c>
      <c r="J73" s="38" cm="1">
        <f t="array" ref="J73">_xll.VoseMean(I73)</f>
        <v>7.666666666666667</v>
      </c>
      <c r="K73" s="39" cm="1">
        <f t="array" ref="K73">_xll.VoseVariance(I73)</f>
        <v>5.3888888888888893</v>
      </c>
      <c r="L73" s="38">
        <f t="shared" si="2"/>
        <v>1.5333333333333334</v>
      </c>
      <c r="M73" s="39">
        <f t="shared" si="3"/>
        <v>10.482222222222225</v>
      </c>
      <c r="N73" s="40" cm="1">
        <f t="array" aca="1" ref="N73" ca="1">_xll.VoseBernoulli(C73)</f>
        <v>0</v>
      </c>
      <c r="O73" s="41" cm="1">
        <f t="array" aca="1" ref="O73" ca="1">_xll.VoseInput("Risk 64","US$m")+N73*_xll.VoseSimulate(I73)</f>
        <v>0</v>
      </c>
      <c r="P73" s="28"/>
    </row>
    <row r="74" spans="2:16" x14ac:dyDescent="0.45">
      <c r="B74" s="34">
        <v>65</v>
      </c>
      <c r="C74" s="35">
        <v>0.7</v>
      </c>
      <c r="D74" s="25" t="s">
        <v>127</v>
      </c>
      <c r="E74" s="36">
        <v>0</v>
      </c>
      <c r="F74" s="36">
        <v>1</v>
      </c>
      <c r="G74" s="36">
        <v>5</v>
      </c>
      <c r="H74" s="28"/>
      <c r="I74" s="37" t="str" cm="1">
        <f t="array" ref="I74">_xll.VosePERTObject(E74,F74,G74)</f>
        <v>VosePERT(0,1,5)</v>
      </c>
      <c r="J74" s="38" cm="1">
        <f t="array" ref="J74">_xll.VoseMean(I74)</f>
        <v>1.5</v>
      </c>
      <c r="K74" s="39" cm="1">
        <f t="array" ref="K74">_xll.VoseVariance(I74)</f>
        <v>0.75</v>
      </c>
      <c r="L74" s="38">
        <f t="shared" ref="L74:L105" si="4">C74*J74</f>
        <v>1.0499999999999998</v>
      </c>
      <c r="M74" s="39">
        <f t="shared" ref="M74:M105" si="5">C74*K74+C74*(1-C74)*J74^2</f>
        <v>0.99749999999999994</v>
      </c>
      <c r="N74" s="40" cm="1">
        <f t="array" aca="1" ref="N74" ca="1">_xll.VoseBernoulli(C74)</f>
        <v>0</v>
      </c>
      <c r="O74" s="41" cm="1">
        <f t="array" aca="1" ref="O74" ca="1">_xll.VoseInput("Risk 65","US$m")+N74*_xll.VoseSimulate(I74)</f>
        <v>0</v>
      </c>
      <c r="P74" s="28"/>
    </row>
    <row r="75" spans="2:16" x14ac:dyDescent="0.45">
      <c r="B75" s="34">
        <v>66</v>
      </c>
      <c r="C75" s="35">
        <v>0.01</v>
      </c>
      <c r="D75" s="25" t="s">
        <v>127</v>
      </c>
      <c r="E75" s="36">
        <v>3</v>
      </c>
      <c r="F75" s="36">
        <v>5</v>
      </c>
      <c r="G75" s="36">
        <v>7</v>
      </c>
      <c r="H75" s="28"/>
      <c r="I75" s="37" t="str" cm="1">
        <f t="array" ref="I75">_xll.VosePERTObject(E75,F75,G75)</f>
        <v>VosePERT(3,5,7)</v>
      </c>
      <c r="J75" s="38" cm="1">
        <f t="array" ref="J75">_xll.VoseMean(I75)</f>
        <v>5</v>
      </c>
      <c r="K75" s="39" cm="1">
        <f t="array" ref="K75">_xll.VoseVariance(I75)</f>
        <v>0.5714285714285714</v>
      </c>
      <c r="L75" s="38">
        <f t="shared" si="4"/>
        <v>0.05</v>
      </c>
      <c r="M75" s="39">
        <f t="shared" si="5"/>
        <v>0.25321428571428573</v>
      </c>
      <c r="N75" s="40" cm="1">
        <f t="array" aca="1" ref="N75" ca="1">_xll.VoseBernoulli(C75)</f>
        <v>0</v>
      </c>
      <c r="O75" s="41" cm="1">
        <f t="array" aca="1" ref="O75" ca="1">_xll.VoseInput("Risk 66","US$m")+N75*_xll.VoseSimulate(I75)</f>
        <v>0</v>
      </c>
      <c r="P75" s="28"/>
    </row>
    <row r="76" spans="2:16" x14ac:dyDescent="0.45">
      <c r="B76" s="34">
        <v>67</v>
      </c>
      <c r="C76" s="35">
        <v>0.1</v>
      </c>
      <c r="D76" s="25" t="s">
        <v>127</v>
      </c>
      <c r="E76" s="36">
        <v>2</v>
      </c>
      <c r="F76" s="36">
        <v>5</v>
      </c>
      <c r="G76" s="36">
        <v>9</v>
      </c>
      <c r="H76" s="28"/>
      <c r="I76" s="37" t="str" cm="1">
        <f t="array" ref="I76">_xll.VosePERTObject(E76,F76,G76)</f>
        <v>VosePERT(2,5,9)</v>
      </c>
      <c r="J76" s="38" cm="1">
        <f t="array" ref="J76">_xll.VoseMean(I76)</f>
        <v>5.166666666666667</v>
      </c>
      <c r="K76" s="39" cm="1">
        <f t="array" ref="K76">_xll.VoseVariance(I76)</f>
        <v>1.7341269841269842</v>
      </c>
      <c r="L76" s="38">
        <f t="shared" si="4"/>
        <v>0.51666666666666672</v>
      </c>
      <c r="M76" s="39">
        <f t="shared" si="5"/>
        <v>2.5759126984126985</v>
      </c>
      <c r="N76" s="40" cm="1">
        <f t="array" aca="1" ref="N76" ca="1">_xll.VoseBernoulli(C76)</f>
        <v>0</v>
      </c>
      <c r="O76" s="41" cm="1">
        <f t="array" aca="1" ref="O76" ca="1">_xll.VoseInput("Risk 67","US$m")+N76*_xll.VoseSimulate(I76)</f>
        <v>0</v>
      </c>
      <c r="P76" s="28"/>
    </row>
    <row r="77" spans="2:16" x14ac:dyDescent="0.45">
      <c r="B77" s="34">
        <v>68</v>
      </c>
      <c r="C77" s="35">
        <v>1E-3</v>
      </c>
      <c r="D77" s="25" t="s">
        <v>132</v>
      </c>
      <c r="E77" s="36">
        <v>0</v>
      </c>
      <c r="F77" s="36">
        <v>2</v>
      </c>
      <c r="G77" s="36">
        <v>6</v>
      </c>
      <c r="H77" s="28"/>
      <c r="I77" s="37" t="str" cm="1">
        <f t="array" ref="I77">_xll.VoseTriangleObject(E77,F77,G77)</f>
        <v>VoseTriangle(0,2,6)</v>
      </c>
      <c r="J77" s="38" cm="1">
        <f t="array" ref="J77">_xll.VoseMean(I77)</f>
        <v>2.6666666666666665</v>
      </c>
      <c r="K77" s="39" cm="1">
        <f t="array" ref="K77">_xll.VoseVariance(I77)</f>
        <v>1.5555555555555556</v>
      </c>
      <c r="L77" s="38">
        <f t="shared" si="4"/>
        <v>2.6666666666666666E-3</v>
      </c>
      <c r="M77" s="39">
        <f t="shared" si="5"/>
        <v>8.6595555555555558E-3</v>
      </c>
      <c r="N77" s="40" cm="1">
        <f t="array" aca="1" ref="N77" ca="1">_xll.VoseBernoulli(C77)</f>
        <v>0</v>
      </c>
      <c r="O77" s="41" cm="1">
        <f t="array" aca="1" ref="O77" ca="1">_xll.VoseInput("Risk 68","US$m")+N77*_xll.VoseSimulate(I77)</f>
        <v>0</v>
      </c>
      <c r="P77" s="28"/>
    </row>
    <row r="78" spans="2:16" x14ac:dyDescent="0.45">
      <c r="B78" s="34">
        <v>69</v>
      </c>
      <c r="C78" s="35">
        <v>1E-3</v>
      </c>
      <c r="D78" s="25" t="s">
        <v>132</v>
      </c>
      <c r="E78" s="36">
        <v>3</v>
      </c>
      <c r="F78" s="36">
        <v>8</v>
      </c>
      <c r="G78" s="36">
        <v>24</v>
      </c>
      <c r="H78" s="28"/>
      <c r="I78" s="37" t="str" cm="1">
        <f t="array" ref="I78">_xll.VoseTriangleObject(E78,F78,G78)</f>
        <v>VoseTriangle(3,8,24)</v>
      </c>
      <c r="J78" s="38" cm="1">
        <f t="array" ref="J78">_xll.VoseMean(I78)</f>
        <v>11.666666666666666</v>
      </c>
      <c r="K78" s="39" cm="1">
        <f t="array" ref="K78">_xll.VoseVariance(I78)</f>
        <v>20.055555555555557</v>
      </c>
      <c r="L78" s="38">
        <f t="shared" si="4"/>
        <v>1.1666666666666665E-2</v>
      </c>
      <c r="M78" s="39">
        <f t="shared" si="5"/>
        <v>0.15603055555555553</v>
      </c>
      <c r="N78" s="40" cm="1">
        <f t="array" aca="1" ref="N78" ca="1">_xll.VoseBernoulli(C78)</f>
        <v>0</v>
      </c>
      <c r="O78" s="41" cm="1">
        <f t="array" aca="1" ref="O78" ca="1">_xll.VoseInput("Risk 69","US$m")+N78*_xll.VoseSimulate(I78)</f>
        <v>0</v>
      </c>
      <c r="P78" s="28"/>
    </row>
    <row r="79" spans="2:16" x14ac:dyDescent="0.45">
      <c r="B79" s="34">
        <v>70</v>
      </c>
      <c r="C79" s="35">
        <v>0.05</v>
      </c>
      <c r="D79" s="25" t="s">
        <v>132</v>
      </c>
      <c r="E79" s="36">
        <v>5</v>
      </c>
      <c r="F79" s="36">
        <v>12</v>
      </c>
      <c r="G79" s="36">
        <v>30</v>
      </c>
      <c r="H79" s="28"/>
      <c r="I79" s="37" t="str" cm="1">
        <f t="array" ref="I79">_xll.VoseTriangleObject(E79,F79,G79)</f>
        <v>VoseTriangle(5,12,30)</v>
      </c>
      <c r="J79" s="38" cm="1">
        <f t="array" ref="J79">_xll.VoseMean(I79)</f>
        <v>15.666666666666666</v>
      </c>
      <c r="K79" s="39" cm="1">
        <f t="array" ref="K79">_xll.VoseVariance(I79)</f>
        <v>27.722222222222221</v>
      </c>
      <c r="L79" s="38">
        <f t="shared" si="4"/>
        <v>0.78333333333333333</v>
      </c>
      <c r="M79" s="39">
        <f t="shared" si="5"/>
        <v>13.044722222222221</v>
      </c>
      <c r="N79" s="40" cm="1">
        <f t="array" aca="1" ref="N79" ca="1">_xll.VoseBernoulli(C79)</f>
        <v>0</v>
      </c>
      <c r="O79" s="41" cm="1">
        <f t="array" aca="1" ref="O79" ca="1">_xll.VoseInput("Risk 70","US$m")+N79*_xll.VoseSimulate(I79)</f>
        <v>0</v>
      </c>
      <c r="P79" s="28"/>
    </row>
    <row r="80" spans="2:16" x14ac:dyDescent="0.45">
      <c r="B80" s="34">
        <v>71</v>
      </c>
      <c r="C80" s="35">
        <v>0.01</v>
      </c>
      <c r="D80" s="25" t="s">
        <v>127</v>
      </c>
      <c r="E80" s="36">
        <v>2</v>
      </c>
      <c r="F80" s="36">
        <v>6</v>
      </c>
      <c r="G80" s="36">
        <v>7</v>
      </c>
      <c r="H80" s="28"/>
      <c r="I80" s="37" t="str" cm="1">
        <f t="array" ref="I80">_xll.VosePERTObject(E80,F80,G80)</f>
        <v>VosePERT(2,6,7)</v>
      </c>
      <c r="J80" s="38" cm="1">
        <f t="array" ref="J80">_xll.VoseMean(I80)</f>
        <v>5.5</v>
      </c>
      <c r="K80" s="39" cm="1">
        <f t="array" ref="K80">_xll.VoseVariance(I80)</f>
        <v>0.75</v>
      </c>
      <c r="L80" s="38">
        <f t="shared" si="4"/>
        <v>5.5E-2</v>
      </c>
      <c r="M80" s="39">
        <f t="shared" si="5"/>
        <v>0.30697500000000005</v>
      </c>
      <c r="N80" s="40" cm="1">
        <f t="array" aca="1" ref="N80" ca="1">_xll.VoseBernoulli(C80)</f>
        <v>0</v>
      </c>
      <c r="O80" s="41" cm="1">
        <f t="array" aca="1" ref="O80" ca="1">_xll.VoseInput("Risk 71","US$m")+N80*_xll.VoseSimulate(I80)</f>
        <v>0</v>
      </c>
      <c r="P80" s="28"/>
    </row>
    <row r="81" spans="2:16" x14ac:dyDescent="0.45">
      <c r="B81" s="34">
        <v>72</v>
      </c>
      <c r="C81" s="35">
        <v>0.05</v>
      </c>
      <c r="D81" s="25" t="s">
        <v>127</v>
      </c>
      <c r="E81" s="36">
        <v>4</v>
      </c>
      <c r="F81" s="36">
        <v>5</v>
      </c>
      <c r="G81" s="36">
        <v>26</v>
      </c>
      <c r="H81" s="28"/>
      <c r="I81" s="37" t="str" cm="1">
        <f t="array" ref="I81">_xll.VosePERTObject(E81,F81,G81)</f>
        <v>VosePERT(4,5,26)</v>
      </c>
      <c r="J81" s="38" cm="1">
        <f t="array" ref="J81">_xll.VoseMean(I81)</f>
        <v>8.3333333333333339</v>
      </c>
      <c r="K81" s="39" cm="1">
        <f t="array" ref="K81">_xll.VoseVariance(I81)</f>
        <v>10.936507936507937</v>
      </c>
      <c r="L81" s="38">
        <f t="shared" si="4"/>
        <v>0.41666666666666674</v>
      </c>
      <c r="M81" s="39">
        <f t="shared" si="5"/>
        <v>3.8454365079365083</v>
      </c>
      <c r="N81" s="40" cm="1">
        <f t="array" aca="1" ref="N81" ca="1">_xll.VoseBernoulli(C81)</f>
        <v>1</v>
      </c>
      <c r="O81" s="41" cm="1">
        <f t="array" aca="1" ref="O81" ca="1">_xll.VoseInput("Risk 72","US$m")+N81*_xll.VoseSimulate(I81)</f>
        <v>12.19903336182257</v>
      </c>
      <c r="P81" s="28"/>
    </row>
    <row r="82" spans="2:16" x14ac:dyDescent="0.45">
      <c r="B82" s="34">
        <v>73</v>
      </c>
      <c r="C82" s="35">
        <v>0.3</v>
      </c>
      <c r="D82" s="25" t="s">
        <v>127</v>
      </c>
      <c r="E82" s="36">
        <v>1</v>
      </c>
      <c r="F82" s="36">
        <v>2</v>
      </c>
      <c r="G82" s="36">
        <v>9</v>
      </c>
      <c r="H82" s="28"/>
      <c r="I82" s="37" t="str" cm="1">
        <f t="array" ref="I82">_xll.VosePERTObject(E82,F82,G82)</f>
        <v>VosePERT(1,2,9)</v>
      </c>
      <c r="J82" s="38" cm="1">
        <f t="array" ref="J82">_xll.VoseMean(I82)</f>
        <v>3</v>
      </c>
      <c r="K82" s="39" cm="1">
        <f t="array" ref="K82">_xll.VoseVariance(I82)</f>
        <v>1.7142857142857142</v>
      </c>
      <c r="L82" s="38">
        <f t="shared" si="4"/>
        <v>0.89999999999999991</v>
      </c>
      <c r="M82" s="39">
        <f t="shared" si="5"/>
        <v>2.4042857142857139</v>
      </c>
      <c r="N82" s="40" cm="1">
        <f t="array" aca="1" ref="N82" ca="1">_xll.VoseBernoulli(C82)</f>
        <v>1</v>
      </c>
      <c r="O82" s="41" cm="1">
        <f t="array" aca="1" ref="O82" ca="1">_xll.VoseInput("Risk 73","US$m")+N82*_xll.VoseSimulate(I82)</f>
        <v>2.0121991490107449</v>
      </c>
      <c r="P82" s="28"/>
    </row>
    <row r="83" spans="2:16" x14ac:dyDescent="0.45">
      <c r="B83" s="34">
        <v>74</v>
      </c>
      <c r="C83" s="35">
        <v>0.2</v>
      </c>
      <c r="D83" s="25" t="s">
        <v>127</v>
      </c>
      <c r="E83" s="36">
        <v>3</v>
      </c>
      <c r="F83" s="36">
        <v>6</v>
      </c>
      <c r="G83" s="36">
        <v>28</v>
      </c>
      <c r="H83" s="28"/>
      <c r="I83" s="37" t="str" cm="1">
        <f t="array" ref="I83">_xll.VosePERTObject(E83,F83,G83)</f>
        <v>VosePERT(3,6,28)</v>
      </c>
      <c r="J83" s="38" cm="1">
        <f t="array" ref="J83">_xll.VoseMean(I83)</f>
        <v>9.1666666666666661</v>
      </c>
      <c r="K83" s="39" cm="1">
        <f t="array" ref="K83">_xll.VoseVariance(I83)</f>
        <v>16.591269841269842</v>
      </c>
      <c r="L83" s="38">
        <f t="shared" si="4"/>
        <v>1.8333333333333333</v>
      </c>
      <c r="M83" s="39">
        <f t="shared" si="5"/>
        <v>16.762698412698416</v>
      </c>
      <c r="N83" s="40" cm="1">
        <f t="array" aca="1" ref="N83" ca="1">_xll.VoseBernoulli(C83)</f>
        <v>0</v>
      </c>
      <c r="O83" s="41" cm="1">
        <f t="array" aca="1" ref="O83" ca="1">_xll.VoseInput("Risk 74","US$m")+N83*_xll.VoseSimulate(I83)</f>
        <v>0</v>
      </c>
      <c r="P83" s="28"/>
    </row>
    <row r="84" spans="2:16" x14ac:dyDescent="0.45">
      <c r="B84" s="34">
        <v>75</v>
      </c>
      <c r="C84" s="35">
        <v>0.05</v>
      </c>
      <c r="D84" s="25" t="s">
        <v>132</v>
      </c>
      <c r="E84" s="36">
        <v>4</v>
      </c>
      <c r="F84" s="36">
        <v>8</v>
      </c>
      <c r="G84" s="36">
        <v>39</v>
      </c>
      <c r="H84" s="28"/>
      <c r="I84" s="37" t="str" cm="1">
        <f t="array" ref="I84">_xll.VoseTriangleObject(E84,F84,G84)</f>
        <v>VoseTriangle(4,8,39)</v>
      </c>
      <c r="J84" s="38" cm="1">
        <f t="array" ref="J84">_xll.VoseMean(I84)</f>
        <v>17</v>
      </c>
      <c r="K84" s="39" cm="1">
        <f t="array" ref="K84">_xll.VoseVariance(I84)</f>
        <v>61.166666666666664</v>
      </c>
      <c r="L84" s="38">
        <f t="shared" si="4"/>
        <v>0.85000000000000009</v>
      </c>
      <c r="M84" s="39">
        <f t="shared" si="5"/>
        <v>16.785833333333336</v>
      </c>
      <c r="N84" s="40" cm="1">
        <f t="array" aca="1" ref="N84" ca="1">_xll.VoseBernoulli(C84)</f>
        <v>0</v>
      </c>
      <c r="O84" s="41" cm="1">
        <f t="array" aca="1" ref="O84" ca="1">_xll.VoseInput("Risk 75","US$m")+N84*_xll.VoseSimulate(I84)</f>
        <v>0</v>
      </c>
      <c r="P84" s="28"/>
    </row>
    <row r="85" spans="2:16" x14ac:dyDescent="0.45">
      <c r="B85" s="34">
        <v>76</v>
      </c>
      <c r="C85" s="35">
        <v>0.01</v>
      </c>
      <c r="D85" s="25" t="s">
        <v>127</v>
      </c>
      <c r="E85" s="36">
        <v>3</v>
      </c>
      <c r="F85" s="36">
        <v>4</v>
      </c>
      <c r="G85" s="36">
        <v>10</v>
      </c>
      <c r="H85" s="28"/>
      <c r="I85" s="37" t="str" cm="1">
        <f t="array" ref="I85">_xll.VosePERTObject(E85,F85,G85)</f>
        <v>VosePERT(3,4,10)</v>
      </c>
      <c r="J85" s="38" cm="1">
        <f t="array" ref="J85">_xll.VoseMean(I85)</f>
        <v>4.833333333333333</v>
      </c>
      <c r="K85" s="39" cm="1">
        <f t="array" ref="K85">_xll.VoseVariance(I85)</f>
        <v>1.353174603174603</v>
      </c>
      <c r="L85" s="38">
        <f t="shared" si="4"/>
        <v>4.8333333333333332E-2</v>
      </c>
      <c r="M85" s="39">
        <f t="shared" si="5"/>
        <v>0.24480674603174601</v>
      </c>
      <c r="N85" s="40" cm="1">
        <f t="array" aca="1" ref="N85" ca="1">_xll.VoseBernoulli(C85)</f>
        <v>0</v>
      </c>
      <c r="O85" s="41" cm="1">
        <f t="array" aca="1" ref="O85" ca="1">_xll.VoseInput("Risk 76","US$m")+N85*_xll.VoseSimulate(I85)</f>
        <v>0</v>
      </c>
      <c r="P85" s="28"/>
    </row>
    <row r="86" spans="2:16" x14ac:dyDescent="0.45">
      <c r="B86" s="34">
        <v>77</v>
      </c>
      <c r="C86" s="35">
        <v>0.05</v>
      </c>
      <c r="D86" s="25" t="s">
        <v>127</v>
      </c>
      <c r="E86" s="36">
        <v>3</v>
      </c>
      <c r="F86" s="36">
        <v>5</v>
      </c>
      <c r="G86" s="36">
        <v>12</v>
      </c>
      <c r="H86" s="28"/>
      <c r="I86" s="37" t="str" cm="1">
        <f t="array" ref="I86">_xll.VosePERTObject(E86,F86,G86)</f>
        <v>VosePERT(3,5,12)</v>
      </c>
      <c r="J86" s="38" cm="1">
        <f t="array" ref="J86">_xll.VoseMean(I86)</f>
        <v>5.833333333333333</v>
      </c>
      <c r="K86" s="39" cm="1">
        <f t="array" ref="K86">_xll.VoseVariance(I86)</f>
        <v>2.496031746031746</v>
      </c>
      <c r="L86" s="38">
        <f t="shared" si="4"/>
        <v>0.29166666666666669</v>
      </c>
      <c r="M86" s="39">
        <f t="shared" si="5"/>
        <v>1.7411210317460315</v>
      </c>
      <c r="N86" s="40" cm="1">
        <f t="array" aca="1" ref="N86" ca="1">_xll.VoseBernoulli(C86)</f>
        <v>0</v>
      </c>
      <c r="O86" s="41" cm="1">
        <f t="array" aca="1" ref="O86" ca="1">_xll.VoseInput("Risk 77","US$m")+N86*_xll.VoseSimulate(I86)</f>
        <v>0</v>
      </c>
      <c r="P86" s="28"/>
    </row>
    <row r="87" spans="2:16" x14ac:dyDescent="0.45">
      <c r="B87" s="34">
        <v>78</v>
      </c>
      <c r="C87" s="35">
        <v>0.2</v>
      </c>
      <c r="D87" s="25" t="s">
        <v>127</v>
      </c>
      <c r="E87" s="36">
        <v>2</v>
      </c>
      <c r="F87" s="36">
        <v>4</v>
      </c>
      <c r="G87" s="36">
        <v>23</v>
      </c>
      <c r="H87" s="28"/>
      <c r="I87" s="37" t="str" cm="1">
        <f t="array" ref="I87">_xll.VosePERTObject(E87,F87,G87)</f>
        <v>VosePERT(2,4,23)</v>
      </c>
      <c r="J87" s="38" cm="1">
        <f t="array" ref="J87">_xll.VoseMean(I87)</f>
        <v>6.833333333333333</v>
      </c>
      <c r="K87" s="39" cm="1">
        <f t="array" ref="K87">_xll.VoseVariance(I87)</f>
        <v>11.162698412698413</v>
      </c>
      <c r="L87" s="38">
        <f t="shared" si="4"/>
        <v>1.3666666666666667</v>
      </c>
      <c r="M87" s="39">
        <f t="shared" si="5"/>
        <v>9.7036507936507945</v>
      </c>
      <c r="N87" s="40" cm="1">
        <f t="array" aca="1" ref="N87" ca="1">_xll.VoseBernoulli(C87)</f>
        <v>0</v>
      </c>
      <c r="O87" s="41" cm="1">
        <f t="array" aca="1" ref="O87" ca="1">_xll.VoseInput("Risk 78","US$m")+N87*_xll.VoseSimulate(I87)</f>
        <v>0</v>
      </c>
      <c r="P87" s="28"/>
    </row>
    <row r="88" spans="2:16" x14ac:dyDescent="0.45">
      <c r="B88" s="34">
        <v>79</v>
      </c>
      <c r="C88" s="35">
        <v>0.2</v>
      </c>
      <c r="D88" s="25" t="s">
        <v>127</v>
      </c>
      <c r="E88" s="36">
        <v>2</v>
      </c>
      <c r="F88" s="36">
        <v>3</v>
      </c>
      <c r="G88" s="36">
        <v>6</v>
      </c>
      <c r="H88" s="28"/>
      <c r="I88" s="37" t="str" cm="1">
        <f t="array" ref="I88">_xll.VosePERTObject(E88,F88,G88)</f>
        <v>VosePERT(2,3,6)</v>
      </c>
      <c r="J88" s="38" cm="1">
        <f t="array" ref="J88">_xll.VoseMean(I88)</f>
        <v>3.3333333333333335</v>
      </c>
      <c r="K88" s="39" cm="1">
        <f t="array" ref="K88">_xll.VoseVariance(I88)</f>
        <v>0.50793650793650802</v>
      </c>
      <c r="L88" s="38">
        <f t="shared" si="4"/>
        <v>0.66666666666666674</v>
      </c>
      <c r="M88" s="39">
        <f t="shared" si="5"/>
        <v>1.87936507936508</v>
      </c>
      <c r="N88" s="40" cm="1">
        <f t="array" aca="1" ref="N88" ca="1">_xll.VoseBernoulli(C88)</f>
        <v>0</v>
      </c>
      <c r="O88" s="41" cm="1">
        <f t="array" aca="1" ref="O88" ca="1">_xll.VoseInput("Risk 79","US$m")+N88*_xll.VoseSimulate(I88)</f>
        <v>0</v>
      </c>
      <c r="P88" s="28"/>
    </row>
    <row r="89" spans="2:16" x14ac:dyDescent="0.45">
      <c r="B89" s="34">
        <v>80</v>
      </c>
      <c r="C89" s="35">
        <v>0.05</v>
      </c>
      <c r="D89" s="25" t="s">
        <v>132</v>
      </c>
      <c r="E89" s="36">
        <v>4</v>
      </c>
      <c r="F89" s="36">
        <v>10</v>
      </c>
      <c r="G89" s="36">
        <v>13</v>
      </c>
      <c r="H89" s="28"/>
      <c r="I89" s="37" t="str" cm="1">
        <f t="array" ref="I89">_xll.VoseTriangleObject(E89,F89,G89)</f>
        <v>VoseTriangle(4,10,13)</v>
      </c>
      <c r="J89" s="38" cm="1">
        <f t="array" ref="J89">_xll.VoseMean(I89)</f>
        <v>9</v>
      </c>
      <c r="K89" s="39" cm="1">
        <f t="array" ref="K89">_xll.VoseVariance(I89)</f>
        <v>3.5</v>
      </c>
      <c r="L89" s="38">
        <f t="shared" si="4"/>
        <v>0.45</v>
      </c>
      <c r="M89" s="39">
        <f t="shared" si="5"/>
        <v>4.0225</v>
      </c>
      <c r="N89" s="40" cm="1">
        <f t="array" aca="1" ref="N89" ca="1">_xll.VoseBernoulli(C89)</f>
        <v>0</v>
      </c>
      <c r="O89" s="41" cm="1">
        <f t="array" aca="1" ref="O89" ca="1">_xll.VoseInput("Risk 80","US$m")+N89*_xll.VoseSimulate(I89)</f>
        <v>0</v>
      </c>
      <c r="P89" s="28"/>
    </row>
    <row r="90" spans="2:16" x14ac:dyDescent="0.45">
      <c r="B90" s="34">
        <v>81</v>
      </c>
      <c r="C90" s="35">
        <v>1E-3</v>
      </c>
      <c r="D90" s="25" t="s">
        <v>127</v>
      </c>
      <c r="E90" s="36">
        <v>0</v>
      </c>
      <c r="F90" s="36">
        <v>1</v>
      </c>
      <c r="G90" s="36">
        <v>100</v>
      </c>
      <c r="H90" s="28"/>
      <c r="I90" s="37" t="str" cm="1">
        <f t="array" ref="I90">_xll.VosePERTObject(E90,F90,G90)</f>
        <v>VosePERT(0,1,100)</v>
      </c>
      <c r="J90" s="38" cm="1">
        <f t="array" ref="J90">_xll.VoseMean(I90)</f>
        <v>17.333333333333332</v>
      </c>
      <c r="K90" s="39" cm="1">
        <f t="array" ref="K90">_xll.VoseVariance(I90)</f>
        <v>204.69841269841271</v>
      </c>
      <c r="L90" s="38">
        <f t="shared" si="4"/>
        <v>1.7333333333333333E-2</v>
      </c>
      <c r="M90" s="39">
        <f t="shared" si="5"/>
        <v>0.50484241269841268</v>
      </c>
      <c r="N90" s="40" cm="1">
        <f t="array" aca="1" ref="N90" ca="1">_xll.VoseBernoulli(C90)</f>
        <v>0</v>
      </c>
      <c r="O90" s="41" cm="1">
        <f t="array" aca="1" ref="O90" ca="1">_xll.VoseInput("Risk 81","US$m")+N90*_xll.VoseSimulate(I90)</f>
        <v>0</v>
      </c>
      <c r="P90" s="28"/>
    </row>
    <row r="91" spans="2:16" x14ac:dyDescent="0.45">
      <c r="B91" s="34">
        <v>82</v>
      </c>
      <c r="C91" s="35">
        <v>0.7</v>
      </c>
      <c r="D91" s="25" t="s">
        <v>132</v>
      </c>
      <c r="E91" s="36">
        <v>4</v>
      </c>
      <c r="F91" s="36">
        <v>4</v>
      </c>
      <c r="G91" s="36">
        <v>9</v>
      </c>
      <c r="H91" s="28"/>
      <c r="I91" s="37" t="str" cm="1">
        <f t="array" ref="I91">_xll.VoseTriangleObject(E91,F91,G91)</f>
        <v>VoseTriangle(4,4,9)</v>
      </c>
      <c r="J91" s="38" cm="1">
        <f t="array" ref="J91">_xll.VoseMean(I91)</f>
        <v>5.666666666666667</v>
      </c>
      <c r="K91" s="39" cm="1">
        <f t="array" ref="K91">_xll.VoseVariance(I91)</f>
        <v>1.3888888888888888</v>
      </c>
      <c r="L91" s="38">
        <f t="shared" si="4"/>
        <v>3.9666666666666668</v>
      </c>
      <c r="M91" s="39">
        <f t="shared" si="5"/>
        <v>7.7155555555555573</v>
      </c>
      <c r="N91" s="40" cm="1">
        <f t="array" aca="1" ref="N91" ca="1">_xll.VoseBernoulli(C91)</f>
        <v>1</v>
      </c>
      <c r="O91" s="41" cm="1">
        <f t="array" aca="1" ref="O91" ca="1">_xll.VoseInput("Risk 82","US$m")+N91*_xll.VoseSimulate(I91)</f>
        <v>6.0406866123742091</v>
      </c>
      <c r="P91" s="28"/>
    </row>
    <row r="92" spans="2:16" x14ac:dyDescent="0.45">
      <c r="B92" s="34">
        <v>83</v>
      </c>
      <c r="C92" s="35">
        <v>0.05</v>
      </c>
      <c r="D92" s="25" t="s">
        <v>127</v>
      </c>
      <c r="E92" s="36">
        <v>3</v>
      </c>
      <c r="F92" s="36">
        <v>10</v>
      </c>
      <c r="G92" s="36">
        <v>37</v>
      </c>
      <c r="H92" s="28"/>
      <c r="I92" s="37" t="str" cm="1">
        <f t="array" ref="I92">_xll.VosePERTObject(E92,F92,G92)</f>
        <v>VosePERT(3,10,37)</v>
      </c>
      <c r="J92" s="38" cm="1">
        <f t="array" ref="J92">_xll.VoseMean(I92)</f>
        <v>13.333333333333334</v>
      </c>
      <c r="K92" s="39" cm="1">
        <f t="array" ref="K92">_xll.VoseVariance(I92)</f>
        <v>34.936507936507937</v>
      </c>
      <c r="L92" s="38">
        <f t="shared" si="4"/>
        <v>0.66666666666666674</v>
      </c>
      <c r="M92" s="39">
        <f t="shared" si="5"/>
        <v>10.191269841269843</v>
      </c>
      <c r="N92" s="40" cm="1">
        <f t="array" aca="1" ref="N92" ca="1">_xll.VoseBernoulli(C92)</f>
        <v>0</v>
      </c>
      <c r="O92" s="41" cm="1">
        <f t="array" aca="1" ref="O92" ca="1">_xll.VoseInput("Risk 83","US$m")+N92*_xll.VoseSimulate(I92)</f>
        <v>0</v>
      </c>
      <c r="P92" s="28"/>
    </row>
    <row r="93" spans="2:16" x14ac:dyDescent="0.45">
      <c r="B93" s="34">
        <v>84</v>
      </c>
      <c r="C93" s="35">
        <v>0.05</v>
      </c>
      <c r="D93" s="25" t="s">
        <v>127</v>
      </c>
      <c r="E93" s="36">
        <v>2</v>
      </c>
      <c r="F93" s="36">
        <v>3</v>
      </c>
      <c r="G93" s="36">
        <v>9</v>
      </c>
      <c r="H93" s="28"/>
      <c r="I93" s="37" t="str" cm="1">
        <f t="array" ref="I93">_xll.VosePERTObject(E93,F93,G93)</f>
        <v>VosePERT(2,3,9)</v>
      </c>
      <c r="J93" s="38" cm="1">
        <f t="array" ref="J93">_xll.VoseMean(I93)</f>
        <v>3.8333333333333335</v>
      </c>
      <c r="K93" s="39" cm="1">
        <f t="array" ref="K93">_xll.VoseVariance(I93)</f>
        <v>1.353174603174603</v>
      </c>
      <c r="L93" s="38">
        <f t="shared" si="4"/>
        <v>0.19166666666666668</v>
      </c>
      <c r="M93" s="39">
        <f t="shared" si="5"/>
        <v>0.76564484126984134</v>
      </c>
      <c r="N93" s="40" cm="1">
        <f t="array" aca="1" ref="N93" ca="1">_xll.VoseBernoulli(C93)</f>
        <v>0</v>
      </c>
      <c r="O93" s="41" cm="1">
        <f t="array" aca="1" ref="O93" ca="1">_xll.VoseInput("Risk 84","US$m")+N93*_xll.VoseSimulate(I93)</f>
        <v>0</v>
      </c>
      <c r="P93" s="28"/>
    </row>
    <row r="94" spans="2:16" x14ac:dyDescent="0.45">
      <c r="B94" s="34">
        <v>85</v>
      </c>
      <c r="C94" s="35">
        <v>0.4</v>
      </c>
      <c r="D94" s="25" t="s">
        <v>134</v>
      </c>
      <c r="E94" s="36">
        <v>4</v>
      </c>
      <c r="F94" s="36">
        <v>13</v>
      </c>
      <c r="G94" s="36">
        <v>40</v>
      </c>
      <c r="H94" s="36">
        <v>3</v>
      </c>
      <c r="I94" s="37" t="str" cm="1">
        <f t="array" ref="I94">_xll.VoseModPERTObject(E94,F94,G94,H94)</f>
        <v>VoseModPERT(4,13,40,3)</v>
      </c>
      <c r="J94" s="38" cm="1">
        <f t="array" ref="J94">_xll.VoseMean(I94)</f>
        <v>16.600000000000001</v>
      </c>
      <c r="K94" s="39" cm="1">
        <f t="array" ref="K94">_xll.VoseVariance(I94)</f>
        <v>49.140000000000008</v>
      </c>
      <c r="L94" s="38">
        <f t="shared" si="4"/>
        <v>6.6400000000000006</v>
      </c>
      <c r="M94" s="39">
        <f t="shared" si="5"/>
        <v>85.79040000000002</v>
      </c>
      <c r="N94" s="40" cm="1">
        <f t="array" aca="1" ref="N94" ca="1">_xll.VoseBernoulli(C94)</f>
        <v>1</v>
      </c>
      <c r="O94" s="41" cm="1">
        <f t="array" aca="1" ref="O94" ca="1">_xll.VoseInput("Risk 85","US$m")+N94*_xll.VoseSimulate(I94)</f>
        <v>14.326299449218858</v>
      </c>
      <c r="P94" s="28"/>
    </row>
    <row r="95" spans="2:16" x14ac:dyDescent="0.45">
      <c r="B95" s="34">
        <v>86</v>
      </c>
      <c r="C95" s="35">
        <v>0.05</v>
      </c>
      <c r="D95" s="25" t="s">
        <v>134</v>
      </c>
      <c r="E95" s="36">
        <v>1</v>
      </c>
      <c r="F95" s="36">
        <v>2</v>
      </c>
      <c r="G95" s="36">
        <v>7</v>
      </c>
      <c r="H95" s="36">
        <v>2.5</v>
      </c>
      <c r="I95" s="37" t="str" cm="1">
        <f t="array" ref="I95">_xll.VoseModPERTObject(E95,F95,G95,H95)</f>
        <v>VoseModPERT(1,2,7,2.5)</v>
      </c>
      <c r="J95" s="38" cm="1">
        <f t="array" ref="J95">_xll.VoseMean(I95)</f>
        <v>2.8888888888888888</v>
      </c>
      <c r="K95" s="39" cm="1">
        <f t="array" ref="K95">_xll.VoseVariance(I95)</f>
        <v>1.4118967452300784</v>
      </c>
      <c r="L95" s="38">
        <f t="shared" si="4"/>
        <v>0.14444444444444446</v>
      </c>
      <c r="M95" s="39">
        <f t="shared" si="5"/>
        <v>0.4670145903479237</v>
      </c>
      <c r="N95" s="40" cm="1">
        <f t="array" aca="1" ref="N95" ca="1">_xll.VoseBernoulli(C95)</f>
        <v>1</v>
      </c>
      <c r="O95" s="41" cm="1">
        <f t="array" aca="1" ref="O95" ca="1">_xll.VoseInput("Risk 86","US$m")+N95*_xll.VoseSimulate(I95)</f>
        <v>3.5103370095161317</v>
      </c>
      <c r="P95" s="28"/>
    </row>
    <row r="96" spans="2:16" x14ac:dyDescent="0.45">
      <c r="B96" s="34">
        <v>87</v>
      </c>
      <c r="C96" s="35">
        <v>0.05</v>
      </c>
      <c r="D96" s="25" t="s">
        <v>127</v>
      </c>
      <c r="E96" s="36">
        <v>4</v>
      </c>
      <c r="F96" s="36">
        <v>13</v>
      </c>
      <c r="G96" s="36">
        <v>55</v>
      </c>
      <c r="H96" s="28"/>
      <c r="I96" s="37" t="str" cm="1">
        <f t="array" ref="I96">_xll.VosePERTObject(E96,F96,G96)</f>
        <v>VosePERT(4,13,55)</v>
      </c>
      <c r="J96" s="38" cm="1">
        <f t="array" ref="J96">_xll.VoseMean(I96)</f>
        <v>18.5</v>
      </c>
      <c r="K96" s="39" cm="1">
        <f t="array" ref="K96">_xll.VoseVariance(I96)</f>
        <v>75.607142857142861</v>
      </c>
      <c r="L96" s="38">
        <f t="shared" si="4"/>
        <v>0.92500000000000004</v>
      </c>
      <c r="M96" s="39">
        <f t="shared" si="5"/>
        <v>20.037232142857142</v>
      </c>
      <c r="N96" s="40" cm="1">
        <f t="array" aca="1" ref="N96" ca="1">_xll.VoseBernoulli(C96)</f>
        <v>0</v>
      </c>
      <c r="O96" s="41" cm="1">
        <f t="array" aca="1" ref="O96" ca="1">_xll.VoseInput("Risk 87","US$m")+N96*_xll.VoseSimulate(I96)</f>
        <v>0</v>
      </c>
      <c r="P96" s="28"/>
    </row>
    <row r="97" spans="2:16" x14ac:dyDescent="0.45">
      <c r="B97" s="34">
        <v>88</v>
      </c>
      <c r="C97" s="35">
        <v>0.8</v>
      </c>
      <c r="D97" s="25" t="s">
        <v>132</v>
      </c>
      <c r="E97" s="36">
        <v>2</v>
      </c>
      <c r="F97" s="36">
        <v>2</v>
      </c>
      <c r="G97" s="36">
        <v>10</v>
      </c>
      <c r="H97" s="28"/>
      <c r="I97" s="37" t="str" cm="1">
        <f t="array" ref="I97">_xll.VoseTriangleObject(E97,F97,G97)</f>
        <v>VoseTriangle(2,2,10)</v>
      </c>
      <c r="J97" s="38" cm="1">
        <f t="array" ref="J97">_xll.VoseMean(I97)</f>
        <v>4.666666666666667</v>
      </c>
      <c r="K97" s="39" cm="1">
        <f t="array" ref="K97">_xll.VoseVariance(I97)</f>
        <v>3.5555555555555554</v>
      </c>
      <c r="L97" s="38">
        <f t="shared" si="4"/>
        <v>3.7333333333333338</v>
      </c>
      <c r="M97" s="39">
        <f t="shared" si="5"/>
        <v>6.3288888888888888</v>
      </c>
      <c r="N97" s="40" cm="1">
        <f t="array" aca="1" ref="N97" ca="1">_xll.VoseBernoulli(C97)</f>
        <v>1</v>
      </c>
      <c r="O97" s="41" cm="1">
        <f t="array" aca="1" ref="O97" ca="1">_xll.VoseInput("Risk 88","US$m")+N97*_xll.VoseSimulate(I97)</f>
        <v>4.817429115957979</v>
      </c>
      <c r="P97" s="28"/>
    </row>
    <row r="98" spans="2:16" x14ac:dyDescent="0.45">
      <c r="B98" s="34">
        <v>89</v>
      </c>
      <c r="C98" s="35">
        <v>0.1</v>
      </c>
      <c r="D98" s="25" t="s">
        <v>132</v>
      </c>
      <c r="E98" s="36">
        <v>1</v>
      </c>
      <c r="F98" s="36">
        <v>2</v>
      </c>
      <c r="G98" s="36">
        <v>8</v>
      </c>
      <c r="H98" s="28"/>
      <c r="I98" s="37" t="str" cm="1">
        <f t="array" ref="I98">_xll.VoseTriangleObject(E98,F98,G98)</f>
        <v>VoseTriangle(1,2,8)</v>
      </c>
      <c r="J98" s="38" cm="1">
        <f t="array" ref="J98">_xll.VoseMean(I98)</f>
        <v>3.6666666666666665</v>
      </c>
      <c r="K98" s="39" cm="1">
        <f t="array" ref="K98">_xll.VoseVariance(I98)</f>
        <v>2.3888888888888888</v>
      </c>
      <c r="L98" s="38">
        <f t="shared" si="4"/>
        <v>0.3666666666666667</v>
      </c>
      <c r="M98" s="39">
        <f t="shared" si="5"/>
        <v>1.4488888888888889</v>
      </c>
      <c r="N98" s="40" cm="1">
        <f t="array" aca="1" ref="N98" ca="1">_xll.VoseBernoulli(C98)</f>
        <v>0</v>
      </c>
      <c r="O98" s="41" cm="1">
        <f t="array" aca="1" ref="O98" ca="1">_xll.VoseInput("Risk 89","US$m")+N98*_xll.VoseSimulate(I98)</f>
        <v>0</v>
      </c>
      <c r="P98" s="28"/>
    </row>
    <row r="99" spans="2:16" x14ac:dyDescent="0.45">
      <c r="B99" s="34">
        <v>90</v>
      </c>
      <c r="C99" s="35">
        <v>0.05</v>
      </c>
      <c r="D99" s="25" t="s">
        <v>132</v>
      </c>
      <c r="E99" s="36">
        <v>5</v>
      </c>
      <c r="F99" s="36">
        <v>16</v>
      </c>
      <c r="G99" s="36">
        <v>90</v>
      </c>
      <c r="H99" s="28"/>
      <c r="I99" s="37" t="str" cm="1">
        <f t="array" ref="I99">_xll.VoseTriangleObject(E99,F99,G99)</f>
        <v>VoseTriangle(5,16,90)</v>
      </c>
      <c r="J99" s="38" cm="1">
        <f t="array" ref="J99">_xll.VoseMean(I99)</f>
        <v>37</v>
      </c>
      <c r="K99" s="39" cm="1">
        <f t="array" ref="K99">_xll.VoseVariance(I99)</f>
        <v>356.16666666666669</v>
      </c>
      <c r="L99" s="38">
        <f t="shared" si="4"/>
        <v>1.85</v>
      </c>
      <c r="M99" s="39">
        <f t="shared" si="5"/>
        <v>82.835833333333341</v>
      </c>
      <c r="N99" s="40" cm="1">
        <f t="array" aca="1" ref="N99" ca="1">_xll.VoseBernoulli(C99)</f>
        <v>0</v>
      </c>
      <c r="O99" s="41" cm="1">
        <f t="array" aca="1" ref="O99" ca="1">_xll.VoseInput("Risk 90","US$m")+N99*_xll.VoseSimulate(I99)</f>
        <v>0</v>
      </c>
      <c r="P99" s="28"/>
    </row>
    <row r="100" spans="2:16" x14ac:dyDescent="0.45">
      <c r="B100" s="34">
        <v>91</v>
      </c>
      <c r="C100" s="35">
        <v>1E-3</v>
      </c>
      <c r="D100" s="25" t="s">
        <v>132</v>
      </c>
      <c r="E100" s="36">
        <v>5</v>
      </c>
      <c r="F100" s="36">
        <v>19</v>
      </c>
      <c r="G100" s="36">
        <v>100</v>
      </c>
      <c r="H100" s="28"/>
      <c r="I100" s="37" t="str" cm="1">
        <f t="array" ref="I100">_xll.VoseTriangleObject(E100,F100,G100)</f>
        <v>VoseTriangle(5,19,100)</v>
      </c>
      <c r="J100" s="38" cm="1">
        <f t="array" ref="J100">_xll.VoseMean(I100)</f>
        <v>41.333333333333336</v>
      </c>
      <c r="K100" s="39" cm="1">
        <f t="array" ref="K100">_xll.VoseVariance(I100)</f>
        <v>438.38888888888891</v>
      </c>
      <c r="L100" s="38">
        <f t="shared" si="4"/>
        <v>4.133333333333334E-2</v>
      </c>
      <c r="M100" s="39">
        <f t="shared" si="5"/>
        <v>2.1451248888888892</v>
      </c>
      <c r="N100" s="40" cm="1">
        <f t="array" aca="1" ref="N100" ca="1">_xll.VoseBernoulli(C100)</f>
        <v>0</v>
      </c>
      <c r="O100" s="41" cm="1">
        <f t="array" aca="1" ref="O100" ca="1">_xll.VoseInput("Risk 91","US$m")+N100*_xll.VoseSimulate(I100)</f>
        <v>0</v>
      </c>
      <c r="P100" s="28"/>
    </row>
    <row r="101" spans="2:16" x14ac:dyDescent="0.45">
      <c r="B101" s="34">
        <v>92</v>
      </c>
      <c r="C101" s="35">
        <v>1E-3</v>
      </c>
      <c r="D101" s="25" t="s">
        <v>134</v>
      </c>
      <c r="E101" s="36">
        <v>5</v>
      </c>
      <c r="F101" s="36">
        <v>16</v>
      </c>
      <c r="G101" s="36">
        <v>82</v>
      </c>
      <c r="H101" s="36">
        <v>2</v>
      </c>
      <c r="I101" s="37" t="str" cm="1">
        <f t="array" ref="I101">_xll.VoseModPERTObject(E101,F101,G101,H101)</f>
        <v>VoseModPERT(5,16,82,2)</v>
      </c>
      <c r="J101" s="38" cm="1">
        <f t="array" ref="J101">_xll.VoseMean(I101)</f>
        <v>29.75</v>
      </c>
      <c r="K101" s="39" cm="1">
        <f t="array" ref="K101">_xll.VoseVariance(I101)</f>
        <v>258.63749999999999</v>
      </c>
      <c r="L101" s="38">
        <f t="shared" si="4"/>
        <v>2.9750000000000002E-2</v>
      </c>
      <c r="M101" s="39">
        <f t="shared" si="5"/>
        <v>1.1428149375000001</v>
      </c>
      <c r="N101" s="40" cm="1">
        <f t="array" aca="1" ref="N101" ca="1">_xll.VoseBernoulli(C101)</f>
        <v>0</v>
      </c>
      <c r="O101" s="41" cm="1">
        <f t="array" aca="1" ref="O101" ca="1">_xll.VoseInput("Risk 92","US$m")+N101*_xll.VoseSimulate(I101)</f>
        <v>0</v>
      </c>
      <c r="P101" s="28"/>
    </row>
    <row r="102" spans="2:16" x14ac:dyDescent="0.45">
      <c r="B102" s="34">
        <v>93</v>
      </c>
      <c r="C102" s="35">
        <v>0.05</v>
      </c>
      <c r="D102" s="25" t="s">
        <v>134</v>
      </c>
      <c r="E102" s="36">
        <v>1</v>
      </c>
      <c r="F102" s="36">
        <v>2</v>
      </c>
      <c r="G102" s="36">
        <v>3</v>
      </c>
      <c r="H102" s="36">
        <v>3.5</v>
      </c>
      <c r="I102" s="37" t="str" cm="1">
        <f t="array" ref="I102">_xll.VoseModPERTObject(E102,F102,G102,H102)</f>
        <v>VoseModPERT(1,2,3,3.5)</v>
      </c>
      <c r="J102" s="38" cm="1">
        <f t="array" ref="J102">_xll.VoseMean(I102)</f>
        <v>2</v>
      </c>
      <c r="K102" s="39" cm="1">
        <f t="array" ref="K102">_xll.VoseVariance(I102)</f>
        <v>0.15384615384615385</v>
      </c>
      <c r="L102" s="38">
        <f t="shared" si="4"/>
        <v>0.1</v>
      </c>
      <c r="M102" s="39">
        <f t="shared" si="5"/>
        <v>0.19769230769230769</v>
      </c>
      <c r="N102" s="40" cm="1">
        <f t="array" aca="1" ref="N102" ca="1">_xll.VoseBernoulli(C102)</f>
        <v>0</v>
      </c>
      <c r="O102" s="41" cm="1">
        <f t="array" aca="1" ref="O102" ca="1">_xll.VoseInput("Risk 93","US$m")+N102*_xll.VoseSimulate(I102)</f>
        <v>0</v>
      </c>
      <c r="P102" s="28"/>
    </row>
    <row r="103" spans="2:16" x14ac:dyDescent="0.45">
      <c r="B103" s="34">
        <v>94</v>
      </c>
      <c r="C103" s="35">
        <v>0.2</v>
      </c>
      <c r="D103" s="25" t="s">
        <v>132</v>
      </c>
      <c r="E103" s="36">
        <v>3</v>
      </c>
      <c r="F103" s="36">
        <v>11</v>
      </c>
      <c r="G103" s="36">
        <v>64</v>
      </c>
      <c r="H103" s="28"/>
      <c r="I103" s="37" t="str" cm="1">
        <f t="array" ref="I103">_xll.VoseTriangleObject(E103,F103,G103)</f>
        <v>VoseTriangle(3,11,64)</v>
      </c>
      <c r="J103" s="38" cm="1">
        <f t="array" ref="J103">_xll.VoseMean(I103)</f>
        <v>26</v>
      </c>
      <c r="K103" s="39" cm="1">
        <f t="array" ref="K103">_xll.VoseVariance(I103)</f>
        <v>183.16666666666666</v>
      </c>
      <c r="L103" s="38">
        <f t="shared" si="4"/>
        <v>5.2</v>
      </c>
      <c r="M103" s="39">
        <f t="shared" si="5"/>
        <v>144.79333333333335</v>
      </c>
      <c r="N103" s="40" cm="1">
        <f t="array" aca="1" ref="N103" ca="1">_xll.VoseBernoulli(C103)</f>
        <v>0</v>
      </c>
      <c r="O103" s="41" cm="1">
        <f t="array" aca="1" ref="O103" ca="1">_xll.VoseInput("Risk 94","US$m")+N103*_xll.VoseSimulate(I103)</f>
        <v>0</v>
      </c>
      <c r="P103" s="28"/>
    </row>
    <row r="104" spans="2:16" x14ac:dyDescent="0.45">
      <c r="B104" s="34">
        <v>95</v>
      </c>
      <c r="C104" s="35">
        <v>0.3</v>
      </c>
      <c r="D104" s="25" t="s">
        <v>132</v>
      </c>
      <c r="E104" s="36">
        <v>2</v>
      </c>
      <c r="F104" s="36">
        <v>6</v>
      </c>
      <c r="G104" s="36">
        <v>28</v>
      </c>
      <c r="H104" s="28"/>
      <c r="I104" s="37" t="str" cm="1">
        <f t="array" ref="I104">_xll.VoseTriangleObject(E104,F104,G104)</f>
        <v>VoseTriangle(2,6,28)</v>
      </c>
      <c r="J104" s="38" cm="1">
        <f t="array" ref="J104">_xll.VoseMean(I104)</f>
        <v>12</v>
      </c>
      <c r="K104" s="39" cm="1">
        <f t="array" ref="K104">_xll.VoseVariance(I104)</f>
        <v>32.666666666666664</v>
      </c>
      <c r="L104" s="38">
        <f t="shared" si="4"/>
        <v>3.5999999999999996</v>
      </c>
      <c r="M104" s="39">
        <f t="shared" si="5"/>
        <v>40.04</v>
      </c>
      <c r="N104" s="40" cm="1">
        <f t="array" aca="1" ref="N104" ca="1">_xll.VoseBernoulli(C104)</f>
        <v>1</v>
      </c>
      <c r="O104" s="41" cm="1">
        <f t="array" aca="1" ref="O104" ca="1">_xll.VoseInput("Risk 95","US$m")+N104*_xll.VoseSimulate(I104)</f>
        <v>3.5425653120340961</v>
      </c>
      <c r="P104" s="28"/>
    </row>
    <row r="105" spans="2:16" x14ac:dyDescent="0.45">
      <c r="B105" s="34">
        <v>96</v>
      </c>
      <c r="C105" s="35">
        <v>0.3</v>
      </c>
      <c r="D105" s="25" t="s">
        <v>127</v>
      </c>
      <c r="E105" s="36">
        <v>1</v>
      </c>
      <c r="F105" s="36">
        <v>2</v>
      </c>
      <c r="G105" s="36">
        <v>11</v>
      </c>
      <c r="H105" s="28"/>
      <c r="I105" s="37" t="str" cm="1">
        <f t="array" ref="I105">_xll.VosePERTObject(E105,F105,G105)</f>
        <v>VosePERT(1,2,11)</v>
      </c>
      <c r="J105" s="38" cm="1">
        <f t="array" ref="J105">_xll.VoseMean(I105)</f>
        <v>3.3333333333333335</v>
      </c>
      <c r="K105" s="39" cm="1">
        <f t="array" ref="K105">_xll.VoseVariance(I105)</f>
        <v>2.5555555555555558</v>
      </c>
      <c r="L105" s="38">
        <f t="shared" si="4"/>
        <v>1</v>
      </c>
      <c r="M105" s="39">
        <f t="shared" si="5"/>
        <v>3.1</v>
      </c>
      <c r="N105" s="40" cm="1">
        <f t="array" aca="1" ref="N105" ca="1">_xll.VoseBernoulli(C105)</f>
        <v>0</v>
      </c>
      <c r="O105" s="41" cm="1">
        <f t="array" aca="1" ref="O105" ca="1">_xll.VoseInput("Risk 96","US$m")+N105*_xll.VoseSimulate(I105)</f>
        <v>0</v>
      </c>
      <c r="P105" s="28"/>
    </row>
    <row r="106" spans="2:16" x14ac:dyDescent="0.45">
      <c r="B106" s="34">
        <v>97</v>
      </c>
      <c r="C106" s="35">
        <v>0.05</v>
      </c>
      <c r="D106" s="25" t="s">
        <v>132</v>
      </c>
      <c r="E106" s="36">
        <v>4</v>
      </c>
      <c r="F106" s="36">
        <v>15</v>
      </c>
      <c r="G106" s="36">
        <v>86</v>
      </c>
      <c r="H106" s="28"/>
      <c r="I106" s="37" t="str" cm="1">
        <f t="array" ref="I106">_xll.VoseTriangleObject(E106,F106,G106)</f>
        <v>VoseTriangle(4,15,86)</v>
      </c>
      <c r="J106" s="38" cm="1">
        <f t="array" ref="J106">_xll.VoseMean(I106)</f>
        <v>35</v>
      </c>
      <c r="K106" s="39" cm="1">
        <f t="array" ref="K106">_xll.VoseVariance(I106)</f>
        <v>330.16666666666669</v>
      </c>
      <c r="L106" s="38">
        <f t="shared" ref="L106:L141" si="6">C106*J106</f>
        <v>1.75</v>
      </c>
      <c r="M106" s="39">
        <f t="shared" ref="M106:M141" si="7">C106*K106+C106*(1-C106)*J106^2</f>
        <v>74.69583333333334</v>
      </c>
      <c r="N106" s="40" cm="1">
        <f t="array" aca="1" ref="N106" ca="1">_xll.VoseBernoulli(C106)</f>
        <v>0</v>
      </c>
      <c r="O106" s="41" cm="1">
        <f t="array" aca="1" ref="O106" ca="1">_xll.VoseInput("Risk 97","US$m")+N106*_xll.VoseSimulate(I106)</f>
        <v>0</v>
      </c>
      <c r="P106" s="28"/>
    </row>
    <row r="107" spans="2:16" x14ac:dyDescent="0.45">
      <c r="B107" s="34">
        <v>98</v>
      </c>
      <c r="C107" s="35">
        <v>0.01</v>
      </c>
      <c r="D107" s="25" t="s">
        <v>127</v>
      </c>
      <c r="E107" s="36">
        <v>3</v>
      </c>
      <c r="F107" s="36">
        <v>11</v>
      </c>
      <c r="G107" s="36">
        <v>12</v>
      </c>
      <c r="H107" s="28"/>
      <c r="I107" s="37" t="str" cm="1">
        <f t="array" ref="I107">_xll.VosePERTObject(E107,F107,G107)</f>
        <v>VosePERT(3,11,12)</v>
      </c>
      <c r="J107" s="38" cm="1">
        <f t="array" ref="J107">_xll.VoseMean(I107)</f>
        <v>9.8333333333333339</v>
      </c>
      <c r="K107" s="39" cm="1">
        <f t="array" ref="K107">_xll.VoseVariance(I107)</f>
        <v>2.1150793650793647</v>
      </c>
      <c r="L107" s="38">
        <f t="shared" si="6"/>
        <v>9.8333333333333342E-2</v>
      </c>
      <c r="M107" s="39">
        <f t="shared" si="7"/>
        <v>0.97842579365079385</v>
      </c>
      <c r="N107" s="40" cm="1">
        <f t="array" aca="1" ref="N107" ca="1">_xll.VoseBernoulli(C107)</f>
        <v>0</v>
      </c>
      <c r="O107" s="41" cm="1">
        <f t="array" aca="1" ref="O107" ca="1">_xll.VoseInput("Risk 98","US$m")+N107*_xll.VoseSimulate(I107)</f>
        <v>0</v>
      </c>
      <c r="P107" s="28"/>
    </row>
    <row r="108" spans="2:16" x14ac:dyDescent="0.45">
      <c r="B108" s="34">
        <v>99</v>
      </c>
      <c r="C108" s="35">
        <v>0.3</v>
      </c>
      <c r="D108" s="25" t="s">
        <v>127</v>
      </c>
      <c r="E108" s="36">
        <v>1</v>
      </c>
      <c r="F108" s="36">
        <v>2</v>
      </c>
      <c r="G108" s="36">
        <v>8</v>
      </c>
      <c r="H108" s="28"/>
      <c r="I108" s="37" t="str" cm="1">
        <f t="array" ref="I108">_xll.VosePERTObject(E108,F108,G108)</f>
        <v>VosePERT(1,2,8)</v>
      </c>
      <c r="J108" s="38" cm="1">
        <f t="array" ref="J108">_xll.VoseMean(I108)</f>
        <v>2.8333333333333335</v>
      </c>
      <c r="K108" s="39" cm="1">
        <f t="array" ref="K108">_xll.VoseVariance(I108)</f>
        <v>1.353174603174603</v>
      </c>
      <c r="L108" s="38">
        <f t="shared" si="6"/>
        <v>0.85</v>
      </c>
      <c r="M108" s="39">
        <f t="shared" si="7"/>
        <v>2.0917857142857144</v>
      </c>
      <c r="N108" s="40" cm="1">
        <f t="array" aca="1" ref="N108" ca="1">_xll.VoseBernoulli(C108)</f>
        <v>0</v>
      </c>
      <c r="O108" s="41" cm="1">
        <f t="array" aca="1" ref="O108" ca="1">_xll.VoseInput("Risk 99","US$m")+N108*_xll.VoseSimulate(I108)</f>
        <v>0</v>
      </c>
      <c r="P108" s="28"/>
    </row>
    <row r="109" spans="2:16" x14ac:dyDescent="0.45">
      <c r="B109" s="34">
        <v>100</v>
      </c>
      <c r="C109" s="35">
        <v>0.1</v>
      </c>
      <c r="D109" s="25" t="s">
        <v>127</v>
      </c>
      <c r="E109" s="36">
        <v>2</v>
      </c>
      <c r="F109" s="36">
        <v>6</v>
      </c>
      <c r="G109" s="36">
        <v>25</v>
      </c>
      <c r="H109" s="28"/>
      <c r="I109" s="37" t="str" cm="1">
        <f t="array" ref="I109">_xll.VosePERTObject(E109,F109,G109)</f>
        <v>VosePERT(2,6,25)</v>
      </c>
      <c r="J109" s="38" cm="1">
        <f t="array" ref="J109">_xll.VoseMean(I109)</f>
        <v>8.5</v>
      </c>
      <c r="K109" s="39" cm="1">
        <f t="array" ref="K109">_xll.VoseVariance(I109)</f>
        <v>15.321428571428571</v>
      </c>
      <c r="L109" s="38">
        <f t="shared" si="6"/>
        <v>0.85000000000000009</v>
      </c>
      <c r="M109" s="39">
        <f t="shared" si="7"/>
        <v>8.0346428571428579</v>
      </c>
      <c r="N109" s="40" cm="1">
        <f t="array" aca="1" ref="N109" ca="1">_xll.VoseBernoulli(C109)</f>
        <v>1</v>
      </c>
      <c r="O109" s="41" cm="1">
        <f t="array" aca="1" ref="O109" ca="1">_xll.VoseInput("Risk 100","US$m")+N109*_xll.VoseSimulate(I109)</f>
        <v>17.962165111873887</v>
      </c>
      <c r="P109" s="28"/>
    </row>
    <row r="110" spans="2:16" x14ac:dyDescent="0.45">
      <c r="B110" s="34">
        <v>101</v>
      </c>
      <c r="C110" s="35">
        <v>0.05</v>
      </c>
      <c r="D110" s="25" t="s">
        <v>127</v>
      </c>
      <c r="E110" s="36">
        <v>1</v>
      </c>
      <c r="F110" s="36">
        <v>2</v>
      </c>
      <c r="G110" s="36">
        <v>11</v>
      </c>
      <c r="H110" s="28"/>
      <c r="I110" s="37" t="str" cm="1">
        <f t="array" ref="I110">_xll.VosePERTObject(E110,F110,G110)</f>
        <v>VosePERT(1,2,11)</v>
      </c>
      <c r="J110" s="38" cm="1">
        <f t="array" ref="J110">_xll.VoseMean(I110)</f>
        <v>3.3333333333333335</v>
      </c>
      <c r="K110" s="39" cm="1">
        <f t="array" ref="K110">_xll.VoseVariance(I110)</f>
        <v>2.5555555555555558</v>
      </c>
      <c r="L110" s="38">
        <f t="shared" si="6"/>
        <v>0.16666666666666669</v>
      </c>
      <c r="M110" s="39">
        <f t="shared" si="7"/>
        <v>0.65555555555555567</v>
      </c>
      <c r="N110" s="40" cm="1">
        <f t="array" aca="1" ref="N110" ca="1">_xll.VoseBernoulli(C110)</f>
        <v>0</v>
      </c>
      <c r="O110" s="41" cm="1">
        <f t="array" aca="1" ref="O110" ca="1">_xll.VoseInput("Risk 101","US$m")+N110*_xll.VoseSimulate(I110)</f>
        <v>0</v>
      </c>
      <c r="P110" s="28"/>
    </row>
    <row r="111" spans="2:16" x14ac:dyDescent="0.45">
      <c r="B111" s="34">
        <v>102</v>
      </c>
      <c r="C111" s="35">
        <v>0.7</v>
      </c>
      <c r="D111" s="25" t="s">
        <v>132</v>
      </c>
      <c r="E111" s="36">
        <v>5</v>
      </c>
      <c r="F111" s="36">
        <v>12</v>
      </c>
      <c r="G111" s="36">
        <v>67</v>
      </c>
      <c r="H111" s="28"/>
      <c r="I111" s="37" t="str" cm="1">
        <f t="array" ref="I111">_xll.VoseTriangleObject(E111,F111,G111)</f>
        <v>VoseTriangle(5,12,67)</v>
      </c>
      <c r="J111" s="38" cm="1">
        <f t="array" ref="J111">_xll.VoseMean(I111)</f>
        <v>28</v>
      </c>
      <c r="K111" s="39" cm="1">
        <f t="array" ref="K111">_xll.VoseVariance(I111)</f>
        <v>192.16666666666666</v>
      </c>
      <c r="L111" s="38">
        <f t="shared" si="6"/>
        <v>19.599999999999998</v>
      </c>
      <c r="M111" s="39">
        <f t="shared" si="7"/>
        <v>299.15666666666664</v>
      </c>
      <c r="N111" s="40" cm="1">
        <f t="array" aca="1" ref="N111" ca="1">_xll.VoseBernoulli(C111)</f>
        <v>0</v>
      </c>
      <c r="O111" s="41" cm="1">
        <f t="array" aca="1" ref="O111" ca="1">_xll.VoseInput("Risk 102","US$m")+N111*_xll.VoseSimulate(I111)</f>
        <v>0</v>
      </c>
      <c r="P111" s="28"/>
    </row>
    <row r="112" spans="2:16" x14ac:dyDescent="0.45">
      <c r="B112" s="34">
        <v>103</v>
      </c>
      <c r="C112" s="35">
        <v>0.01</v>
      </c>
      <c r="D112" s="25" t="s">
        <v>127</v>
      </c>
      <c r="E112" s="36">
        <v>3</v>
      </c>
      <c r="F112" s="36">
        <v>9</v>
      </c>
      <c r="G112" s="36">
        <v>16</v>
      </c>
      <c r="H112" s="28"/>
      <c r="I112" s="37" t="str" cm="1">
        <f t="array" ref="I112">_xll.VosePERTObject(E112,F112,G112)</f>
        <v>VosePERT(3,9,16)</v>
      </c>
      <c r="J112" s="38" cm="1">
        <f t="array" ref="J112">_xll.VoseMean(I112)</f>
        <v>9.1666666666666661</v>
      </c>
      <c r="K112" s="39" cm="1">
        <f t="array" ref="K112">_xll.VoseVariance(I112)</f>
        <v>6.0198412698412698</v>
      </c>
      <c r="L112" s="38">
        <f t="shared" si="6"/>
        <v>9.166666666666666E-2</v>
      </c>
      <c r="M112" s="39">
        <f t="shared" si="7"/>
        <v>0.89207341269841278</v>
      </c>
      <c r="N112" s="40" cm="1">
        <f t="array" aca="1" ref="N112" ca="1">_xll.VoseBernoulli(C112)</f>
        <v>0</v>
      </c>
      <c r="O112" s="41" cm="1">
        <f t="array" aca="1" ref="O112" ca="1">_xll.VoseInput("Risk 103","US$m")+N112*_xll.VoseSimulate(I112)</f>
        <v>0</v>
      </c>
      <c r="P112" s="28"/>
    </row>
    <row r="113" spans="2:16" x14ac:dyDescent="0.45">
      <c r="B113" s="34">
        <v>104</v>
      </c>
      <c r="C113" s="35">
        <v>0.3</v>
      </c>
      <c r="D113" s="25" t="s">
        <v>127</v>
      </c>
      <c r="E113" s="36">
        <v>2</v>
      </c>
      <c r="F113" s="36">
        <v>8</v>
      </c>
      <c r="G113" s="36">
        <v>23</v>
      </c>
      <c r="H113" s="28"/>
      <c r="I113" s="37" t="str" cm="1">
        <f t="array" ref="I113">_xll.VosePERTObject(E113,F113,G113)</f>
        <v>VosePERT(2,8,23)</v>
      </c>
      <c r="J113" s="38" cm="1">
        <f t="array" ref="J113">_xll.VoseMean(I113)</f>
        <v>9.5</v>
      </c>
      <c r="K113" s="39" cm="1">
        <f t="array" ref="K113">_xll.VoseVariance(I113)</f>
        <v>14.464285714285714</v>
      </c>
      <c r="L113" s="38">
        <f t="shared" si="6"/>
        <v>2.85</v>
      </c>
      <c r="M113" s="39">
        <f t="shared" si="7"/>
        <v>23.291785714285716</v>
      </c>
      <c r="N113" s="40" cm="1">
        <f t="array" aca="1" ref="N113" ca="1">_xll.VoseBernoulli(C113)</f>
        <v>0</v>
      </c>
      <c r="O113" s="41" cm="1">
        <f t="array" aca="1" ref="O113" ca="1">_xll.VoseInput("Risk 104","US$m")+N113*_xll.VoseSimulate(I113)</f>
        <v>0</v>
      </c>
      <c r="P113" s="28"/>
    </row>
    <row r="114" spans="2:16" x14ac:dyDescent="0.45">
      <c r="B114" s="34">
        <v>105</v>
      </c>
      <c r="C114" s="35">
        <v>0.01</v>
      </c>
      <c r="D114" s="25" t="s">
        <v>127</v>
      </c>
      <c r="E114" s="36">
        <v>1</v>
      </c>
      <c r="F114" s="36">
        <v>2</v>
      </c>
      <c r="G114" s="36">
        <v>11</v>
      </c>
      <c r="H114" s="28"/>
      <c r="I114" s="37" t="str" cm="1">
        <f t="array" ref="I114">_xll.VosePERTObject(E114,F114,G114)</f>
        <v>VosePERT(1,2,11)</v>
      </c>
      <c r="J114" s="38" cm="1">
        <f t="array" ref="J114">_xll.VoseMean(I114)</f>
        <v>3.3333333333333335</v>
      </c>
      <c r="K114" s="39" cm="1">
        <f t="array" ref="K114">_xll.VoseVariance(I114)</f>
        <v>2.5555555555555558</v>
      </c>
      <c r="L114" s="38">
        <f t="shared" si="6"/>
        <v>3.3333333333333333E-2</v>
      </c>
      <c r="M114" s="39">
        <f t="shared" si="7"/>
        <v>0.1355555555555556</v>
      </c>
      <c r="N114" s="40" cm="1">
        <f t="array" aca="1" ref="N114" ca="1">_xll.VoseBernoulli(C114)</f>
        <v>0</v>
      </c>
      <c r="O114" s="41" cm="1">
        <f t="array" aca="1" ref="O114" ca="1">_xll.VoseInput("Risk 105","US$m")+N114*_xll.VoseSimulate(I114)</f>
        <v>0</v>
      </c>
      <c r="P114" s="28"/>
    </row>
    <row r="115" spans="2:16" x14ac:dyDescent="0.45">
      <c r="B115" s="34">
        <v>106</v>
      </c>
      <c r="C115" s="35">
        <v>0.1</v>
      </c>
      <c r="D115" s="25" t="s">
        <v>127</v>
      </c>
      <c r="E115" s="36">
        <v>3</v>
      </c>
      <c r="F115" s="36">
        <v>7</v>
      </c>
      <c r="G115" s="36">
        <v>12</v>
      </c>
      <c r="H115" s="28"/>
      <c r="I115" s="37" t="str" cm="1">
        <f t="array" ref="I115">_xll.VosePERTObject(E115,F115,G115)</f>
        <v>VosePERT(3,7,12)</v>
      </c>
      <c r="J115" s="38" cm="1">
        <f t="array" ref="J115">_xll.VoseMean(I115)</f>
        <v>7.166666666666667</v>
      </c>
      <c r="K115" s="39" cm="1">
        <f t="array" ref="K115">_xll.VoseVariance(I115)</f>
        <v>2.876984126984127</v>
      </c>
      <c r="L115" s="38">
        <f t="shared" si="6"/>
        <v>0.71666666666666679</v>
      </c>
      <c r="M115" s="39">
        <f t="shared" si="7"/>
        <v>4.9101984126984135</v>
      </c>
      <c r="N115" s="40" cm="1">
        <f t="array" aca="1" ref="N115" ca="1">_xll.VoseBernoulli(C115)</f>
        <v>1</v>
      </c>
      <c r="O115" s="41" cm="1">
        <f t="array" aca="1" ref="O115" ca="1">_xll.VoseInput("Risk 106","US$m")+N115*_xll.VoseSimulate(I115)</f>
        <v>5.0390252608578097</v>
      </c>
      <c r="P115" s="28"/>
    </row>
    <row r="116" spans="2:16" x14ac:dyDescent="0.45">
      <c r="B116" s="34">
        <v>107</v>
      </c>
      <c r="C116" s="35">
        <v>0.1</v>
      </c>
      <c r="D116" s="25" t="s">
        <v>132</v>
      </c>
      <c r="E116" s="36">
        <v>3</v>
      </c>
      <c r="F116" s="36">
        <v>4</v>
      </c>
      <c r="G116" s="36">
        <v>23</v>
      </c>
      <c r="H116" s="28"/>
      <c r="I116" s="37" t="str" cm="1">
        <f t="array" ref="I116">_xll.VoseTriangleObject(E116,F116,G116)</f>
        <v>VoseTriangle(3,4,23)</v>
      </c>
      <c r="J116" s="38" cm="1">
        <f t="array" ref="J116">_xll.VoseMean(I116)</f>
        <v>10</v>
      </c>
      <c r="K116" s="39" cm="1">
        <f t="array" ref="K116">_xll.VoseVariance(I116)</f>
        <v>21.166666666666668</v>
      </c>
      <c r="L116" s="38">
        <f t="shared" si="6"/>
        <v>1</v>
      </c>
      <c r="M116" s="39">
        <f t="shared" si="7"/>
        <v>11.116666666666669</v>
      </c>
      <c r="N116" s="40" cm="1">
        <f t="array" aca="1" ref="N116" ca="1">_xll.VoseBernoulli(C116)</f>
        <v>0</v>
      </c>
      <c r="O116" s="41" cm="1">
        <f t="array" aca="1" ref="O116" ca="1">_xll.VoseInput("Risk 107","US$m")+N116*_xll.VoseSimulate(I116)</f>
        <v>0</v>
      </c>
      <c r="P116" s="28"/>
    </row>
    <row r="117" spans="2:16" x14ac:dyDescent="0.45">
      <c r="B117" s="34">
        <v>108</v>
      </c>
      <c r="C117" s="35">
        <v>0.01</v>
      </c>
      <c r="D117" s="25" t="s">
        <v>127</v>
      </c>
      <c r="E117" s="36">
        <v>1</v>
      </c>
      <c r="F117" s="36">
        <v>2</v>
      </c>
      <c r="G117" s="36">
        <v>5</v>
      </c>
      <c r="H117" s="28"/>
      <c r="I117" s="37" t="str" cm="1">
        <f t="array" ref="I117">_xll.VosePERTObject(E117,F117,G117)</f>
        <v>VosePERT(1,2,5)</v>
      </c>
      <c r="J117" s="38" cm="1">
        <f t="array" ref="J117">_xll.VoseMean(I117)</f>
        <v>2.3333333333333335</v>
      </c>
      <c r="K117" s="39" cm="1">
        <f t="array" ref="K117">_xll.VoseVariance(I117)</f>
        <v>0.50793650793650802</v>
      </c>
      <c r="L117" s="38">
        <f t="shared" si="6"/>
        <v>2.3333333333333334E-2</v>
      </c>
      <c r="M117" s="39">
        <f t="shared" si="7"/>
        <v>5.8979365079365097E-2</v>
      </c>
      <c r="N117" s="40" cm="1">
        <f t="array" aca="1" ref="N117" ca="1">_xll.VoseBernoulli(C117)</f>
        <v>0</v>
      </c>
      <c r="O117" s="41" cm="1">
        <f t="array" aca="1" ref="O117" ca="1">_xll.VoseInput("Risk 108","US$m")+N117*_xll.VoseSimulate(I117)</f>
        <v>0</v>
      </c>
      <c r="P117" s="28"/>
    </row>
    <row r="118" spans="2:16" x14ac:dyDescent="0.45">
      <c r="B118" s="34">
        <v>109</v>
      </c>
      <c r="C118" s="35">
        <v>0.05</v>
      </c>
      <c r="D118" s="25" t="s">
        <v>127</v>
      </c>
      <c r="E118" s="36">
        <v>2</v>
      </c>
      <c r="F118" s="36">
        <v>4</v>
      </c>
      <c r="G118" s="36">
        <v>7</v>
      </c>
      <c r="H118" s="28"/>
      <c r="I118" s="37" t="str" cm="1">
        <f t="array" ref="I118">_xll.VosePERTObject(E118,F118,G118)</f>
        <v>VosePERT(2,4,7)</v>
      </c>
      <c r="J118" s="38" cm="1">
        <f t="array" ref="J118">_xll.VoseMean(I118)</f>
        <v>4.166666666666667</v>
      </c>
      <c r="K118" s="39" cm="1">
        <f t="array" ref="K118">_xll.VoseVariance(I118)</f>
        <v>0.87698412698412709</v>
      </c>
      <c r="L118" s="38">
        <f t="shared" si="6"/>
        <v>0.20833333333333337</v>
      </c>
      <c r="M118" s="39">
        <f t="shared" si="7"/>
        <v>0.86850198412698432</v>
      </c>
      <c r="N118" s="40" cm="1">
        <f t="array" aca="1" ref="N118" ca="1">_xll.VoseBernoulli(C118)</f>
        <v>0</v>
      </c>
      <c r="O118" s="41" cm="1">
        <f t="array" aca="1" ref="O118" ca="1">_xll.VoseInput("Risk 109","US$m")+N118*_xll.VoseSimulate(I118)</f>
        <v>0</v>
      </c>
      <c r="P118" s="28"/>
    </row>
    <row r="119" spans="2:16" x14ac:dyDescent="0.45">
      <c r="B119" s="34">
        <v>110</v>
      </c>
      <c r="C119" s="35">
        <v>0.2</v>
      </c>
      <c r="D119" s="25" t="s">
        <v>127</v>
      </c>
      <c r="E119" s="36">
        <v>2</v>
      </c>
      <c r="F119" s="36">
        <v>3</v>
      </c>
      <c r="G119" s="36">
        <v>7</v>
      </c>
      <c r="H119" s="28"/>
      <c r="I119" s="37" t="str" cm="1">
        <f t="array" ref="I119">_xll.VosePERTObject(E119,F119,G119)</f>
        <v>VosePERT(2,3,7)</v>
      </c>
      <c r="J119" s="38" cm="1">
        <f t="array" ref="J119">_xll.VoseMean(I119)</f>
        <v>3.5</v>
      </c>
      <c r="K119" s="39" cm="1">
        <f t="array" ref="K119">_xll.VoseVariance(I119)</f>
        <v>0.75</v>
      </c>
      <c r="L119" s="38">
        <f t="shared" si="6"/>
        <v>0.70000000000000007</v>
      </c>
      <c r="M119" s="39">
        <f t="shared" si="7"/>
        <v>2.1100000000000003</v>
      </c>
      <c r="N119" s="40" cm="1">
        <f t="array" aca="1" ref="N119" ca="1">_xll.VoseBernoulli(C119)</f>
        <v>0</v>
      </c>
      <c r="O119" s="41" cm="1">
        <f t="array" aca="1" ref="O119" ca="1">_xll.VoseInput("Risk 110","US$m")+N119*_xll.VoseSimulate(I119)</f>
        <v>0</v>
      </c>
      <c r="P119" s="28"/>
    </row>
    <row r="120" spans="2:16" x14ac:dyDescent="0.45">
      <c r="B120" s="34">
        <v>111</v>
      </c>
      <c r="C120" s="35">
        <v>0.01</v>
      </c>
      <c r="D120" s="25" t="s">
        <v>134</v>
      </c>
      <c r="E120" s="36">
        <v>5</v>
      </c>
      <c r="F120" s="36">
        <v>8</v>
      </c>
      <c r="G120" s="36">
        <v>13</v>
      </c>
      <c r="H120" s="36">
        <v>2.5</v>
      </c>
      <c r="I120" s="37" t="str" cm="1">
        <f t="array" ref="I120">_xll.VoseModPERTObject(E120,F120,G120,H120)</f>
        <v>VoseModPERT(5,8,13,2.5)</v>
      </c>
      <c r="J120" s="38" cm="1">
        <f t="array" ref="J120">_xll.VoseMean(I120)</f>
        <v>8.4444444444444446</v>
      </c>
      <c r="K120" s="39" cm="1">
        <f t="array" ref="K120">_xll.VoseVariance(I120)</f>
        <v>2.8529741863075198</v>
      </c>
      <c r="L120" s="38">
        <f t="shared" si="6"/>
        <v>8.4444444444444447E-2</v>
      </c>
      <c r="M120" s="39">
        <f t="shared" si="7"/>
        <v>0.73448529741863089</v>
      </c>
      <c r="N120" s="40" cm="1">
        <f t="array" aca="1" ref="N120" ca="1">_xll.VoseBernoulli(C120)</f>
        <v>0</v>
      </c>
      <c r="O120" s="41" cm="1">
        <f t="array" aca="1" ref="O120" ca="1">_xll.VoseInput("Risk 111","US$m")+N120*_xll.VoseSimulate(I120)</f>
        <v>0</v>
      </c>
      <c r="P120" s="28"/>
    </row>
    <row r="121" spans="2:16" x14ac:dyDescent="0.45">
      <c r="B121" s="34">
        <v>112</v>
      </c>
      <c r="C121" s="35">
        <v>0.1</v>
      </c>
      <c r="D121" s="25" t="s">
        <v>125</v>
      </c>
      <c r="E121" s="36">
        <v>20</v>
      </c>
      <c r="F121" s="36">
        <v>11</v>
      </c>
      <c r="G121" s="28"/>
      <c r="H121" s="28"/>
      <c r="I121" s="37" t="str" cm="1">
        <f t="array" ref="I121">_xll.VoseLognormalObject(E121,F121)</f>
        <v>VoseLognormal(20,11)</v>
      </c>
      <c r="J121" s="38" cm="1">
        <f t="array" ref="J121">_xll.VoseMean(I121)</f>
        <v>20</v>
      </c>
      <c r="K121" s="39" cm="1">
        <f t="array" ref="K121">_xll.VoseVariance(I121)</f>
        <v>121</v>
      </c>
      <c r="L121" s="38">
        <f t="shared" si="6"/>
        <v>2</v>
      </c>
      <c r="M121" s="39">
        <f t="shared" si="7"/>
        <v>48.100000000000009</v>
      </c>
      <c r="N121" s="40" cm="1">
        <f t="array" aca="1" ref="N121" ca="1">_xll.VoseBernoulli(C121)</f>
        <v>0</v>
      </c>
      <c r="O121" s="41" cm="1">
        <f t="array" aca="1" ref="O121" ca="1">_xll.VoseInput("Risk 112","US$m")+N121*_xll.VoseSimulate(I121)</f>
        <v>0</v>
      </c>
      <c r="P121" s="28"/>
    </row>
    <row r="122" spans="2:16" x14ac:dyDescent="0.45">
      <c r="B122" s="34">
        <v>113</v>
      </c>
      <c r="C122" s="35">
        <v>0.01</v>
      </c>
      <c r="D122" s="25" t="s">
        <v>132</v>
      </c>
      <c r="E122" s="36">
        <v>2</v>
      </c>
      <c r="F122" s="36">
        <v>3</v>
      </c>
      <c r="G122" s="36">
        <v>9</v>
      </c>
      <c r="H122" s="28"/>
      <c r="I122" s="37" t="str" cm="1">
        <f t="array" ref="I122">_xll.VoseTriangleObject(E122,F122,G122)</f>
        <v>VoseTriangle(2,3,9)</v>
      </c>
      <c r="J122" s="38" cm="1">
        <f t="array" ref="J122">_xll.VoseMean(I122)</f>
        <v>4.666666666666667</v>
      </c>
      <c r="K122" s="39" cm="1">
        <f t="array" ref="K122">_xll.VoseVariance(I122)</f>
        <v>2.3888888888888888</v>
      </c>
      <c r="L122" s="38">
        <f t="shared" si="6"/>
        <v>4.6666666666666669E-2</v>
      </c>
      <c r="M122" s="39">
        <f t="shared" si="7"/>
        <v>0.23948888888888897</v>
      </c>
      <c r="N122" s="40" cm="1">
        <f t="array" aca="1" ref="N122" ca="1">_xll.VoseBernoulli(C122)</f>
        <v>0</v>
      </c>
      <c r="O122" s="41" cm="1">
        <f t="array" aca="1" ref="O122" ca="1">_xll.VoseInput("Risk 113","US$m")+N122*_xll.VoseSimulate(I122)</f>
        <v>0</v>
      </c>
      <c r="P122" s="28"/>
    </row>
    <row r="123" spans="2:16" x14ac:dyDescent="0.45">
      <c r="B123" s="34">
        <v>114</v>
      </c>
      <c r="C123" s="35">
        <v>0.3</v>
      </c>
      <c r="D123" s="25" t="s">
        <v>127</v>
      </c>
      <c r="E123" s="36">
        <v>2</v>
      </c>
      <c r="F123" s="36">
        <v>3</v>
      </c>
      <c r="G123" s="36">
        <v>6</v>
      </c>
      <c r="H123" s="28"/>
      <c r="I123" s="37" t="str" cm="1">
        <f t="array" ref="I123">_xll.VosePERTObject(E123,F123,G123)</f>
        <v>VosePERT(2,3,6)</v>
      </c>
      <c r="J123" s="38" cm="1">
        <f t="array" ref="J123">_xll.VoseMean(I123)</f>
        <v>3.3333333333333335</v>
      </c>
      <c r="K123" s="39" cm="1">
        <f t="array" ref="K123">_xll.VoseVariance(I123)</f>
        <v>0.50793650793650802</v>
      </c>
      <c r="L123" s="38">
        <f t="shared" si="6"/>
        <v>1</v>
      </c>
      <c r="M123" s="39">
        <f t="shared" si="7"/>
        <v>2.4857142857142858</v>
      </c>
      <c r="N123" s="40" cm="1">
        <f t="array" aca="1" ref="N123" ca="1">_xll.VoseBernoulli(C123)</f>
        <v>0</v>
      </c>
      <c r="O123" s="41" cm="1">
        <f t="array" aca="1" ref="O123" ca="1">_xll.VoseInput("Risk 114","US$m")+N123*_xll.VoseSimulate(I123)</f>
        <v>0</v>
      </c>
      <c r="P123" s="28"/>
    </row>
    <row r="124" spans="2:16" x14ac:dyDescent="0.45">
      <c r="B124" s="34">
        <v>115</v>
      </c>
      <c r="C124" s="35">
        <v>0.05</v>
      </c>
      <c r="D124" s="25" t="s">
        <v>127</v>
      </c>
      <c r="E124" s="36">
        <v>3</v>
      </c>
      <c r="F124" s="36">
        <v>3</v>
      </c>
      <c r="G124" s="36">
        <v>7</v>
      </c>
      <c r="H124" s="28"/>
      <c r="I124" s="37" t="str" cm="1">
        <f t="array" ref="I124">_xll.VosePERTObject(E124,F124,G124)</f>
        <v>VosePERT(3,3,7)</v>
      </c>
      <c r="J124" s="38" cm="1">
        <f t="array" ref="J124">_xll.VoseMean(I124)</f>
        <v>3.6666666666666665</v>
      </c>
      <c r="K124" s="39" cm="1">
        <f t="array" ref="K124">_xll.VoseVariance(I124)</f>
        <v>0.31746031746031739</v>
      </c>
      <c r="L124" s="38">
        <f t="shared" si="6"/>
        <v>0.18333333333333335</v>
      </c>
      <c r="M124" s="39">
        <f t="shared" si="7"/>
        <v>0.65448412698412683</v>
      </c>
      <c r="N124" s="40" cm="1">
        <f t="array" aca="1" ref="N124" ca="1">_xll.VoseBernoulli(C124)</f>
        <v>0</v>
      </c>
      <c r="O124" s="41" cm="1">
        <f t="array" aca="1" ref="O124" ca="1">_xll.VoseInput("Risk 115","US$m")+N124*_xll.VoseSimulate(I124)</f>
        <v>0</v>
      </c>
      <c r="P124" s="28"/>
    </row>
    <row r="125" spans="2:16" x14ac:dyDescent="0.45">
      <c r="B125" s="34">
        <v>116</v>
      </c>
      <c r="C125" s="35">
        <v>0.2</v>
      </c>
      <c r="D125" s="25" t="s">
        <v>132</v>
      </c>
      <c r="E125" s="36">
        <v>1</v>
      </c>
      <c r="F125" s="36">
        <v>2</v>
      </c>
      <c r="G125" s="36">
        <v>5</v>
      </c>
      <c r="H125" s="28"/>
      <c r="I125" s="37" t="str" cm="1">
        <f t="array" ref="I125">_xll.VoseTriangleObject(E125,F125,G125)</f>
        <v>VoseTriangle(1,2,5)</v>
      </c>
      <c r="J125" s="38" cm="1">
        <f t="array" ref="J125">_xll.VoseMean(I125)</f>
        <v>2.6666666666666665</v>
      </c>
      <c r="K125" s="39" cm="1">
        <f t="array" ref="K125">_xll.VoseVariance(I125)</f>
        <v>0.72222222222222221</v>
      </c>
      <c r="L125" s="38">
        <f t="shared" si="6"/>
        <v>0.53333333333333333</v>
      </c>
      <c r="M125" s="39">
        <f t="shared" si="7"/>
        <v>1.2822222222222224</v>
      </c>
      <c r="N125" s="40" cm="1">
        <f t="array" aca="1" ref="N125" ca="1">_xll.VoseBernoulli(C125)</f>
        <v>1</v>
      </c>
      <c r="O125" s="41" cm="1">
        <f t="array" aca="1" ref="O125" ca="1">_xll.VoseInput("Risk 116","US$m")+N125*_xll.VoseSimulate(I125)</f>
        <v>3.0853057581619208</v>
      </c>
      <c r="P125" s="28"/>
    </row>
    <row r="126" spans="2:16" x14ac:dyDescent="0.45">
      <c r="B126" s="34">
        <v>117</v>
      </c>
      <c r="C126" s="35">
        <v>0.5</v>
      </c>
      <c r="D126" s="25" t="s">
        <v>132</v>
      </c>
      <c r="E126" s="36">
        <v>3</v>
      </c>
      <c r="F126" s="36">
        <v>3</v>
      </c>
      <c r="G126" s="36">
        <v>8</v>
      </c>
      <c r="H126" s="28"/>
      <c r="I126" s="37" t="str" cm="1">
        <f t="array" ref="I126">_xll.VoseTriangleObject(E126,F126,G126)</f>
        <v>VoseTriangle(3,3,8)</v>
      </c>
      <c r="J126" s="38" cm="1">
        <f t="array" ref="J126">_xll.VoseMean(I126)</f>
        <v>4.666666666666667</v>
      </c>
      <c r="K126" s="39" cm="1">
        <f t="array" ref="K126">_xll.VoseVariance(I126)</f>
        <v>1.3888888888888888</v>
      </c>
      <c r="L126" s="38">
        <f t="shared" si="6"/>
        <v>2.3333333333333335</v>
      </c>
      <c r="M126" s="39">
        <f t="shared" si="7"/>
        <v>6.1388888888888902</v>
      </c>
      <c r="N126" s="40" cm="1">
        <f t="array" aca="1" ref="N126" ca="1">_xll.VoseBernoulli(C126)</f>
        <v>0</v>
      </c>
      <c r="O126" s="41" cm="1">
        <f t="array" aca="1" ref="O126" ca="1">_xll.VoseInput("Risk 117","US$m")+N126*_xll.VoseSimulate(I126)</f>
        <v>0</v>
      </c>
      <c r="P126" s="28"/>
    </row>
    <row r="127" spans="2:16" x14ac:dyDescent="0.45">
      <c r="B127" s="34">
        <v>118</v>
      </c>
      <c r="C127" s="35">
        <v>0.1</v>
      </c>
      <c r="D127" s="25" t="s">
        <v>127</v>
      </c>
      <c r="E127" s="36">
        <v>2</v>
      </c>
      <c r="F127" s="36">
        <v>5</v>
      </c>
      <c r="G127" s="36">
        <v>12</v>
      </c>
      <c r="H127" s="28"/>
      <c r="I127" s="37" t="str" cm="1">
        <f t="array" ref="I127">_xll.VosePERTObject(E127,F127,G127)</f>
        <v>VosePERT(2,5,12)</v>
      </c>
      <c r="J127" s="38" cm="1">
        <f t="array" ref="J127">_xll.VoseMean(I127)</f>
        <v>5.666666666666667</v>
      </c>
      <c r="K127" s="39" cm="1">
        <f t="array" ref="K127">_xll.VoseVariance(I127)</f>
        <v>3.3174603174603172</v>
      </c>
      <c r="L127" s="38">
        <f t="shared" si="6"/>
        <v>0.56666666666666676</v>
      </c>
      <c r="M127" s="39">
        <f t="shared" si="7"/>
        <v>3.2217460317460325</v>
      </c>
      <c r="N127" s="40" cm="1">
        <f t="array" aca="1" ref="N127" ca="1">_xll.VoseBernoulli(C127)</f>
        <v>0</v>
      </c>
      <c r="O127" s="41" cm="1">
        <f t="array" aca="1" ref="O127" ca="1">_xll.VoseInput("Risk 118","US$m")+N127*_xll.VoseSimulate(I127)</f>
        <v>0</v>
      </c>
      <c r="P127" s="28"/>
    </row>
    <row r="128" spans="2:16" x14ac:dyDescent="0.45">
      <c r="B128" s="34">
        <v>119</v>
      </c>
      <c r="C128" s="35">
        <v>0.4</v>
      </c>
      <c r="D128" s="25" t="s">
        <v>127</v>
      </c>
      <c r="E128" s="36">
        <v>5</v>
      </c>
      <c r="F128" s="36">
        <v>5</v>
      </c>
      <c r="G128" s="36">
        <v>22</v>
      </c>
      <c r="H128" s="28"/>
      <c r="I128" s="37" t="str" cm="1">
        <f t="array" ref="I128">_xll.VosePERTObject(E128,F128,G128)</f>
        <v>VosePERT(5,5,22)</v>
      </c>
      <c r="J128" s="38" cm="1">
        <f t="array" ref="J128">_xll.VoseMean(I128)</f>
        <v>7.833333333333333</v>
      </c>
      <c r="K128" s="39" cm="1">
        <f t="array" ref="K128">_xll.VoseVariance(I128)</f>
        <v>5.7341269841269833</v>
      </c>
      <c r="L128" s="38">
        <f t="shared" si="6"/>
        <v>3.1333333333333333</v>
      </c>
      <c r="M128" s="39">
        <f t="shared" si="7"/>
        <v>17.020317460317457</v>
      </c>
      <c r="N128" s="40" cm="1">
        <f t="array" aca="1" ref="N128" ca="1">_xll.VoseBernoulli(C128)</f>
        <v>1</v>
      </c>
      <c r="O128" s="41" cm="1">
        <f t="array" aca="1" ref="O128" ca="1">_xll.VoseInput("Risk 119","US$m")+N128*_xll.VoseSimulate(I128)</f>
        <v>13.791292022722896</v>
      </c>
      <c r="P128" s="28"/>
    </row>
    <row r="129" spans="2:16" x14ac:dyDescent="0.45">
      <c r="B129" s="34">
        <v>120</v>
      </c>
      <c r="C129" s="35">
        <v>0.01</v>
      </c>
      <c r="D129" s="25" t="s">
        <v>134</v>
      </c>
      <c r="E129" s="36">
        <v>5</v>
      </c>
      <c r="F129" s="36">
        <v>5</v>
      </c>
      <c r="G129" s="36">
        <v>15</v>
      </c>
      <c r="H129" s="36">
        <v>3.5</v>
      </c>
      <c r="I129" s="37" t="str" cm="1">
        <f t="array" ref="I129">_xll.VoseModPERTObject(E129,F129,G129,H129)</f>
        <v>VoseModPERT(5,5,15,3.5)</v>
      </c>
      <c r="J129" s="38" cm="1">
        <f t="array" ref="J129">_xll.VoseMean(I129)</f>
        <v>6.8181818181818183</v>
      </c>
      <c r="K129" s="39" cm="1">
        <f t="array" ref="K129">_xll.VoseVariance(I129)</f>
        <v>2.2886204704386524</v>
      </c>
      <c r="L129" s="38">
        <f t="shared" si="6"/>
        <v>6.8181818181818191E-2</v>
      </c>
      <c r="M129" s="39">
        <f t="shared" si="7"/>
        <v>0.48311347743165933</v>
      </c>
      <c r="N129" s="40" cm="1">
        <f t="array" aca="1" ref="N129" ca="1">_xll.VoseBernoulli(C129)</f>
        <v>0</v>
      </c>
      <c r="O129" s="41" cm="1">
        <f t="array" aca="1" ref="O129" ca="1">_xll.VoseInput("Risk 120","US$m")+N129*_xll.VoseSimulate(I129)</f>
        <v>0</v>
      </c>
      <c r="P129" s="28"/>
    </row>
    <row r="130" spans="2:16" x14ac:dyDescent="0.45">
      <c r="B130" s="34">
        <v>121</v>
      </c>
      <c r="C130" s="35">
        <v>0.1</v>
      </c>
      <c r="D130" s="25" t="s">
        <v>127</v>
      </c>
      <c r="E130" s="36">
        <v>2</v>
      </c>
      <c r="F130" s="36">
        <v>3</v>
      </c>
      <c r="G130" s="36">
        <v>8</v>
      </c>
      <c r="H130" s="28"/>
      <c r="I130" s="37" t="str" cm="1">
        <f t="array" ref="I130">_xll.VosePERTObject(E130,F130,G130)</f>
        <v>VosePERT(2,3,8)</v>
      </c>
      <c r="J130" s="38" cm="1">
        <f t="array" ref="J130">_xll.VoseMean(I130)</f>
        <v>3.6666666666666665</v>
      </c>
      <c r="K130" s="39" cm="1">
        <f t="array" ref="K130">_xll.VoseVariance(I130)</f>
        <v>1.0317460317460319</v>
      </c>
      <c r="L130" s="38">
        <f t="shared" si="6"/>
        <v>0.3666666666666667</v>
      </c>
      <c r="M130" s="39">
        <f t="shared" si="7"/>
        <v>1.3131746031746032</v>
      </c>
      <c r="N130" s="40" cm="1">
        <f t="array" aca="1" ref="N130" ca="1">_xll.VoseBernoulli(C130)</f>
        <v>0</v>
      </c>
      <c r="O130" s="41" cm="1">
        <f t="array" aca="1" ref="O130" ca="1">_xll.VoseInput("Risk 121","US$m")+N130*_xll.VoseSimulate(I130)</f>
        <v>0</v>
      </c>
      <c r="P130" s="28"/>
    </row>
    <row r="131" spans="2:16" x14ac:dyDescent="0.45">
      <c r="B131" s="34">
        <v>122</v>
      </c>
      <c r="C131" s="35">
        <v>0.05</v>
      </c>
      <c r="D131" s="25" t="s">
        <v>127</v>
      </c>
      <c r="E131" s="36">
        <v>4</v>
      </c>
      <c r="F131" s="36">
        <v>11</v>
      </c>
      <c r="G131" s="36">
        <v>36</v>
      </c>
      <c r="H131" s="28"/>
      <c r="I131" s="37" t="str" cm="1">
        <f t="array" ref="I131">_xll.VosePERTObject(E131,F131,G131)</f>
        <v>VosePERT(4,11,36)</v>
      </c>
      <c r="J131" s="38" cm="1">
        <f t="array" ref="J131">_xll.VoseMean(I131)</f>
        <v>14</v>
      </c>
      <c r="K131" s="39" cm="1">
        <f t="array" ref="K131">_xll.VoseVariance(I131)</f>
        <v>31.428571428571427</v>
      </c>
      <c r="L131" s="38">
        <f t="shared" si="6"/>
        <v>0.70000000000000007</v>
      </c>
      <c r="M131" s="39">
        <f t="shared" si="7"/>
        <v>10.881428571428572</v>
      </c>
      <c r="N131" s="40" cm="1">
        <f t="array" aca="1" ref="N131" ca="1">_xll.VoseBernoulli(C131)</f>
        <v>0</v>
      </c>
      <c r="O131" s="41" cm="1">
        <f t="array" aca="1" ref="O131" ca="1">_xll.VoseInput("Risk 122","US$m")+N131*_xll.VoseSimulate(I131)</f>
        <v>0</v>
      </c>
      <c r="P131" s="28"/>
    </row>
    <row r="132" spans="2:16" x14ac:dyDescent="0.45">
      <c r="B132" s="34">
        <v>123</v>
      </c>
      <c r="C132" s="35">
        <v>0.01</v>
      </c>
      <c r="D132" s="25" t="s">
        <v>132</v>
      </c>
      <c r="E132" s="36">
        <v>3</v>
      </c>
      <c r="F132" s="36">
        <v>11</v>
      </c>
      <c r="G132" s="36">
        <v>17</v>
      </c>
      <c r="H132" s="28"/>
      <c r="I132" s="37" t="str" cm="1">
        <f t="array" ref="I132">_xll.VoseTriangleObject(E132,F132,G132)</f>
        <v>VoseTriangle(3,11,17)</v>
      </c>
      <c r="J132" s="38" cm="1">
        <f t="array" ref="J132">_xll.VoseMean(I132)</f>
        <v>10.333333333333334</v>
      </c>
      <c r="K132" s="39" cm="1">
        <f t="array" ref="K132">_xll.VoseVariance(I132)</f>
        <v>8.2222222222222214</v>
      </c>
      <c r="L132" s="38">
        <f t="shared" si="6"/>
        <v>0.10333333333333335</v>
      </c>
      <c r="M132" s="39">
        <f t="shared" si="7"/>
        <v>1.1393222222222223</v>
      </c>
      <c r="N132" s="40" cm="1">
        <f t="array" aca="1" ref="N132" ca="1">_xll.VoseBernoulli(C132)</f>
        <v>0</v>
      </c>
      <c r="O132" s="41" cm="1">
        <f t="array" aca="1" ref="O132" ca="1">_xll.VoseInput("Risk 123","US$m")+N132*_xll.VoseSimulate(I132)</f>
        <v>0</v>
      </c>
      <c r="P132" s="28"/>
    </row>
    <row r="133" spans="2:16" x14ac:dyDescent="0.45">
      <c r="B133" s="34">
        <v>124</v>
      </c>
      <c r="C133" s="35">
        <v>0.05</v>
      </c>
      <c r="D133" s="25" t="s">
        <v>127</v>
      </c>
      <c r="E133" s="36">
        <v>0</v>
      </c>
      <c r="F133" s="36">
        <v>2</v>
      </c>
      <c r="G133" s="36">
        <v>9</v>
      </c>
      <c r="H133" s="28"/>
      <c r="I133" s="37" t="str" cm="1">
        <f t="array" ref="I133">_xll.VosePERTObject(E133,F133,G133)</f>
        <v>VosePERT(0,2,9)</v>
      </c>
      <c r="J133" s="38" cm="1">
        <f t="array" ref="J133">_xll.VoseMean(I133)</f>
        <v>2.8333333333333335</v>
      </c>
      <c r="K133" s="39" cm="1">
        <f t="array" ref="K133">_xll.VoseVariance(I133)</f>
        <v>2.496031746031746</v>
      </c>
      <c r="L133" s="38">
        <f t="shared" si="6"/>
        <v>0.14166666666666669</v>
      </c>
      <c r="M133" s="39">
        <f t="shared" si="7"/>
        <v>0.50612103174603185</v>
      </c>
      <c r="N133" s="40" cm="1">
        <f t="array" aca="1" ref="N133" ca="1">_xll.VoseBernoulli(C133)</f>
        <v>0</v>
      </c>
      <c r="O133" s="41" cm="1">
        <f t="array" aca="1" ref="O133" ca="1">_xll.VoseInput("Risk 124","US$m")+N133*_xll.VoseSimulate(I133)</f>
        <v>0</v>
      </c>
      <c r="P133" s="28"/>
    </row>
    <row r="134" spans="2:16" x14ac:dyDescent="0.45">
      <c r="B134" s="34">
        <v>125</v>
      </c>
      <c r="C134" s="35">
        <v>1E-3</v>
      </c>
      <c r="D134" s="25" t="s">
        <v>127</v>
      </c>
      <c r="E134" s="36">
        <v>4</v>
      </c>
      <c r="F134" s="36">
        <v>4</v>
      </c>
      <c r="G134" s="36">
        <v>15</v>
      </c>
      <c r="H134" s="28"/>
      <c r="I134" s="37" t="str" cm="1">
        <f t="array" ref="I134">_xll.VosePERTObject(E134,F134,G134)</f>
        <v>VosePERT(4,4,15)</v>
      </c>
      <c r="J134" s="38" cm="1">
        <f t="array" ref="J134">_xll.VoseMean(I134)</f>
        <v>5.833333333333333</v>
      </c>
      <c r="K134" s="39" cm="1">
        <f t="array" ref="K134">_xll.VoseVariance(I134)</f>
        <v>2.4007936507936507</v>
      </c>
      <c r="L134" s="38">
        <f t="shared" si="6"/>
        <v>5.8333333333333327E-3</v>
      </c>
      <c r="M134" s="39">
        <f t="shared" si="7"/>
        <v>3.639454365079365E-2</v>
      </c>
      <c r="N134" s="40" cm="1">
        <f t="array" aca="1" ref="N134" ca="1">_xll.VoseBernoulli(C134)</f>
        <v>0</v>
      </c>
      <c r="O134" s="41" cm="1">
        <f t="array" aca="1" ref="O134" ca="1">_xll.VoseInput("Risk 125","US$m")+N134*_xll.VoseSimulate(I134)</f>
        <v>0</v>
      </c>
      <c r="P134" s="28"/>
    </row>
    <row r="135" spans="2:16" x14ac:dyDescent="0.45">
      <c r="B135" s="34">
        <v>126</v>
      </c>
      <c r="C135" s="35">
        <v>0.01</v>
      </c>
      <c r="D135" s="25" t="s">
        <v>127</v>
      </c>
      <c r="E135" s="36">
        <v>1</v>
      </c>
      <c r="F135" s="36">
        <v>2</v>
      </c>
      <c r="G135" s="36">
        <v>3</v>
      </c>
      <c r="H135" s="28"/>
      <c r="I135" s="37" t="str" cm="1">
        <f t="array" ref="I135">_xll.VosePERTObject(E135,F135,G135)</f>
        <v>VosePERT(1,2,3)</v>
      </c>
      <c r="J135" s="38" cm="1">
        <f t="array" ref="J135">_xll.VoseMean(I135)</f>
        <v>2</v>
      </c>
      <c r="K135" s="39" cm="1">
        <f t="array" ref="K135">_xll.VoseVariance(I135)</f>
        <v>0.14285714285714285</v>
      </c>
      <c r="L135" s="38">
        <f t="shared" si="6"/>
        <v>0.02</v>
      </c>
      <c r="M135" s="39">
        <f t="shared" si="7"/>
        <v>4.1028571428571435E-2</v>
      </c>
      <c r="N135" s="40" cm="1">
        <f t="array" aca="1" ref="N135" ca="1">_xll.VoseBernoulli(C135)</f>
        <v>0</v>
      </c>
      <c r="O135" s="41" cm="1">
        <f t="array" aca="1" ref="O135" ca="1">_xll.VoseInput("Risk 126","US$m")+N135*_xll.VoseSimulate(I135)</f>
        <v>0</v>
      </c>
      <c r="P135" s="28"/>
    </row>
    <row r="136" spans="2:16" x14ac:dyDescent="0.45">
      <c r="B136" s="34">
        <v>127</v>
      </c>
      <c r="C136" s="35">
        <v>0.01</v>
      </c>
      <c r="D136" s="25" t="s">
        <v>127</v>
      </c>
      <c r="E136" s="36">
        <v>1</v>
      </c>
      <c r="F136" s="36">
        <v>2</v>
      </c>
      <c r="G136" s="36">
        <v>8</v>
      </c>
      <c r="H136" s="28"/>
      <c r="I136" s="37" t="str" cm="1">
        <f t="array" ref="I136">_xll.VosePERTObject(E136,F136,G136)</f>
        <v>VosePERT(1,2,8)</v>
      </c>
      <c r="J136" s="38" cm="1">
        <f t="array" ref="J136">_xll.VoseMean(I136)</f>
        <v>2.8333333333333335</v>
      </c>
      <c r="K136" s="39" cm="1">
        <f t="array" ref="K136">_xll.VoseVariance(I136)</f>
        <v>1.353174603174603</v>
      </c>
      <c r="L136" s="38">
        <f t="shared" si="6"/>
        <v>2.8333333333333335E-2</v>
      </c>
      <c r="M136" s="39">
        <f t="shared" si="7"/>
        <v>9.3006746031746051E-2</v>
      </c>
      <c r="N136" s="40" cm="1">
        <f t="array" aca="1" ref="N136" ca="1">_xll.VoseBernoulli(C136)</f>
        <v>0</v>
      </c>
      <c r="O136" s="41" cm="1">
        <f t="array" aca="1" ref="O136" ca="1">_xll.VoseInput("Risk 127","US$m")+N136*_xll.VoseSimulate(I136)</f>
        <v>0</v>
      </c>
      <c r="P136" s="28"/>
    </row>
    <row r="137" spans="2:16" x14ac:dyDescent="0.45">
      <c r="B137" s="34">
        <v>128</v>
      </c>
      <c r="C137" s="35">
        <v>0.7</v>
      </c>
      <c r="D137" s="25" t="s">
        <v>127</v>
      </c>
      <c r="E137" s="36">
        <v>4</v>
      </c>
      <c r="F137" s="36">
        <v>4</v>
      </c>
      <c r="G137" s="36">
        <v>6</v>
      </c>
      <c r="H137" s="28"/>
      <c r="I137" s="37" t="str" cm="1">
        <f t="array" ref="I137">_xll.VosePERTObject(E137,F137,G137)</f>
        <v>VosePERT(4,4,6)</v>
      </c>
      <c r="J137" s="38" cm="1">
        <f t="array" ref="J137">_xll.VoseMean(I137)</f>
        <v>4.333333333333333</v>
      </c>
      <c r="K137" s="39" cm="1">
        <f t="array" ref="K137">_xll.VoseVariance(I137)</f>
        <v>7.9365079365079305E-2</v>
      </c>
      <c r="L137" s="38">
        <f t="shared" si="6"/>
        <v>3.0333333333333328</v>
      </c>
      <c r="M137" s="39">
        <f t="shared" si="7"/>
        <v>3.9988888888888883</v>
      </c>
      <c r="N137" s="40" cm="1">
        <f t="array" aca="1" ref="N137" ca="1">_xll.VoseBernoulli(C137)</f>
        <v>0</v>
      </c>
      <c r="O137" s="41" cm="1">
        <f t="array" aca="1" ref="O137" ca="1">_xll.VoseInput("Risk 128","US$m")+N137*_xll.VoseSimulate(I137)</f>
        <v>0</v>
      </c>
      <c r="P137" s="28"/>
    </row>
    <row r="138" spans="2:16" x14ac:dyDescent="0.45">
      <c r="B138" s="34">
        <v>129</v>
      </c>
      <c r="C138" s="35">
        <v>0.1</v>
      </c>
      <c r="D138" s="25" t="s">
        <v>127</v>
      </c>
      <c r="E138" s="36">
        <v>2</v>
      </c>
      <c r="F138" s="36">
        <v>3</v>
      </c>
      <c r="G138" s="36">
        <v>13</v>
      </c>
      <c r="H138" s="28"/>
      <c r="I138" s="37" t="str" cm="1">
        <f t="array" ref="I138">_xll.VosePERTObject(E138,F138,G138)</f>
        <v>VosePERT(2,3,13)</v>
      </c>
      <c r="J138" s="38" cm="1">
        <f t="array" ref="J138">_xll.VoseMean(I138)</f>
        <v>4.5</v>
      </c>
      <c r="K138" s="39" cm="1">
        <f t="array" ref="K138">_xll.VoseVariance(I138)</f>
        <v>3.0357142857142856</v>
      </c>
      <c r="L138" s="38">
        <f t="shared" si="6"/>
        <v>0.45</v>
      </c>
      <c r="M138" s="39">
        <f t="shared" si="7"/>
        <v>2.1260714285714286</v>
      </c>
      <c r="N138" s="40" cm="1">
        <f t="array" aca="1" ref="N138" ca="1">_xll.VoseBernoulli(C138)</f>
        <v>0</v>
      </c>
      <c r="O138" s="41" cm="1">
        <f t="array" aca="1" ref="O138" ca="1">_xll.VoseInput("Risk 129","US$m")+N138*_xll.VoseSimulate(I138)</f>
        <v>0</v>
      </c>
      <c r="P138" s="28"/>
    </row>
    <row r="139" spans="2:16" x14ac:dyDescent="0.45">
      <c r="B139" s="34">
        <v>130</v>
      </c>
      <c r="C139" s="35">
        <v>0.4</v>
      </c>
      <c r="D139" s="25" t="s">
        <v>134</v>
      </c>
      <c r="E139" s="36">
        <v>1</v>
      </c>
      <c r="F139" s="36">
        <v>2</v>
      </c>
      <c r="G139" s="36">
        <v>9</v>
      </c>
      <c r="H139" s="36">
        <v>2.5</v>
      </c>
      <c r="I139" s="37" t="str" cm="1">
        <f t="array" ref="I139">_xll.VoseModPERTObject(E139,F139,G139,H139)</f>
        <v>VoseModPERT(1,2,9,2.5)</v>
      </c>
      <c r="J139" s="38" cm="1">
        <f t="array" ref="J139">_xll.VoseMean(I139)</f>
        <v>3.3333333333333335</v>
      </c>
      <c r="K139" s="39" cm="1">
        <f t="array" ref="K139">_xll.VoseVariance(I139)</f>
        <v>2.404040404040404</v>
      </c>
      <c r="L139" s="38">
        <f t="shared" si="6"/>
        <v>1.3333333333333335</v>
      </c>
      <c r="M139" s="39">
        <f t="shared" si="7"/>
        <v>3.6282828282828286</v>
      </c>
      <c r="N139" s="40" cm="1">
        <f t="array" aca="1" ref="N139" ca="1">_xll.VoseBernoulli(C139)</f>
        <v>1</v>
      </c>
      <c r="O139" s="41" cm="1">
        <f t="array" aca="1" ref="O139" ca="1">_xll.VoseInput("Risk 130","US$m")+N139*_xll.VoseSimulate(I139)</f>
        <v>2.3920520874949491</v>
      </c>
      <c r="P139" s="28"/>
    </row>
    <row r="140" spans="2:16" x14ac:dyDescent="0.45">
      <c r="B140" s="34">
        <v>131</v>
      </c>
      <c r="C140" s="35">
        <v>0.1</v>
      </c>
      <c r="D140" s="25" t="s">
        <v>127</v>
      </c>
      <c r="E140" s="36">
        <v>3</v>
      </c>
      <c r="F140" s="36">
        <v>4</v>
      </c>
      <c r="G140" s="36">
        <v>14</v>
      </c>
      <c r="H140" s="28"/>
      <c r="I140" s="37" t="str" cm="1">
        <f t="array" ref="I140">_xll.VosePERTObject(E140,F140,G140)</f>
        <v>VosePERT(3,4,14)</v>
      </c>
      <c r="J140" s="38" cm="1">
        <f t="array" ref="J140">_xll.VoseMean(I140)</f>
        <v>5.5</v>
      </c>
      <c r="K140" s="39" cm="1">
        <f t="array" ref="K140">_xll.VoseVariance(I140)</f>
        <v>3.0357142857142856</v>
      </c>
      <c r="L140" s="38">
        <f t="shared" si="6"/>
        <v>0.55000000000000004</v>
      </c>
      <c r="M140" s="39">
        <f t="shared" si="7"/>
        <v>3.026071428571429</v>
      </c>
      <c r="N140" s="40" cm="1">
        <f t="array" aca="1" ref="N140" ca="1">_xll.VoseBernoulli(C140)</f>
        <v>0</v>
      </c>
      <c r="O140" s="41" cm="1">
        <f t="array" aca="1" ref="O140" ca="1">_xll.VoseInput("Risk 131","US$m")+N140*_xll.VoseSimulate(I140)</f>
        <v>0</v>
      </c>
      <c r="P140" s="28"/>
    </row>
    <row r="141" spans="2:16" x14ac:dyDescent="0.45">
      <c r="B141" s="34">
        <v>132</v>
      </c>
      <c r="C141" s="35">
        <v>0.01</v>
      </c>
      <c r="D141" s="25" t="s">
        <v>134</v>
      </c>
      <c r="E141" s="36">
        <v>2</v>
      </c>
      <c r="F141" s="36">
        <v>7</v>
      </c>
      <c r="G141" s="36">
        <v>22</v>
      </c>
      <c r="H141" s="36">
        <v>3</v>
      </c>
      <c r="I141" s="37" t="str" cm="1">
        <f t="array" ref="I141">_xll.VoseModPERTObject(E141,F141,G141,H141)</f>
        <v>VoseModPERT(2,7,22,3)</v>
      </c>
      <c r="J141" s="38" cm="1">
        <f t="array" ref="J141">_xll.VoseMean(I141)</f>
        <v>9</v>
      </c>
      <c r="K141" s="39" cm="1">
        <f t="array" ref="K141">_xll.VoseVariance(I141)</f>
        <v>15.166666666666666</v>
      </c>
      <c r="L141" s="38">
        <f t="shared" si="6"/>
        <v>0.09</v>
      </c>
      <c r="M141" s="39">
        <f t="shared" si="7"/>
        <v>0.95356666666666667</v>
      </c>
      <c r="N141" s="40" cm="1">
        <f t="array" aca="1" ref="N141" ca="1">_xll.VoseBernoulli(C141)</f>
        <v>0</v>
      </c>
      <c r="O141" s="41" cm="1">
        <f t="array" aca="1" ref="O141" ca="1">_xll.VoseInput("Risk 132","US$m")+N141*_xll.VoseSimulate(I141)</f>
        <v>0</v>
      </c>
      <c r="P141" s="28"/>
    </row>
    <row r="142" spans="2:16" x14ac:dyDescent="0.45">
      <c r="B142" s="42"/>
      <c r="C142" s="42"/>
      <c r="D142" s="43" t="s">
        <v>135</v>
      </c>
      <c r="E142" s="42"/>
      <c r="F142" s="42"/>
      <c r="G142" s="42"/>
      <c r="H142" s="42"/>
      <c r="I142" s="42"/>
      <c r="J142" s="42"/>
      <c r="K142" s="42"/>
      <c r="L142" s="44">
        <f>SUM(L10:L141)</f>
        <v>188.58380058275054</v>
      </c>
      <c r="M142" s="44">
        <f>SUM(M10:M141)</f>
        <v>2831.4221080724055</v>
      </c>
      <c r="N142" s="45">
        <f ca="1">SUM(N10:N141)</f>
        <v>17</v>
      </c>
      <c r="O142" s="44">
        <f ca="1">SUM(O10:O141)</f>
        <v>131.22591357811388</v>
      </c>
      <c r="P142" s="46" t="s">
        <v>136</v>
      </c>
    </row>
    <row r="143" spans="2:16" ht="8" customHeight="1" x14ac:dyDescent="0.45"/>
    <row r="144" spans="2:16" ht="22.05" customHeight="1" x14ac:dyDescent="0.5">
      <c r="B144" s="7" t="s">
        <v>137</v>
      </c>
      <c r="C144" s="8"/>
      <c r="D144" s="8"/>
      <c r="E144" s="8"/>
      <c r="F144" s="8"/>
      <c r="G144" s="8"/>
      <c r="H144" s="8"/>
      <c r="I144" s="8"/>
      <c r="J144" s="8"/>
      <c r="K144" s="8"/>
      <c r="L144" s="8"/>
      <c r="M144" s="8"/>
      <c r="N144" s="8"/>
      <c r="O144" s="8"/>
      <c r="P144" s="8"/>
    </row>
    <row r="145" spans="2:16" ht="18" customHeight="1" x14ac:dyDescent="0.45">
      <c r="B145" s="13" t="s">
        <v>138</v>
      </c>
    </row>
    <row r="146" spans="2:16" ht="18" customHeight="1" x14ac:dyDescent="0.45">
      <c r="B146" s="5"/>
      <c r="C146" s="5"/>
      <c r="D146" s="47" t="s">
        <v>139</v>
      </c>
      <c r="E146" s="5"/>
      <c r="F146" s="5"/>
      <c r="G146" s="5"/>
      <c r="H146" s="5"/>
      <c r="I146" s="47" t="s">
        <v>96</v>
      </c>
      <c r="J146" s="48" t="s">
        <v>140</v>
      </c>
      <c r="K146" s="5"/>
      <c r="L146" s="5"/>
      <c r="M146" s="5"/>
      <c r="N146" s="5"/>
      <c r="O146" s="5"/>
      <c r="P146" s="47" t="s">
        <v>141</v>
      </c>
    </row>
    <row r="147" spans="2:16" x14ac:dyDescent="0.45">
      <c r="B147" s="28"/>
      <c r="C147" s="28"/>
      <c r="D147" s="25" t="s">
        <v>142</v>
      </c>
      <c r="E147" s="28"/>
      <c r="F147" s="28"/>
      <c r="G147" s="28"/>
      <c r="H147" s="28"/>
      <c r="I147" s="26" t="s">
        <v>143</v>
      </c>
      <c r="J147" s="38">
        <f>SQRT(TotalVar)</f>
        <v>53.211108878432569</v>
      </c>
      <c r="K147" s="28"/>
      <c r="L147" s="28"/>
      <c r="M147" s="28"/>
      <c r="N147" s="28"/>
      <c r="O147" s="28"/>
      <c r="P147" s="26" t="s">
        <v>144</v>
      </c>
    </row>
    <row r="148" spans="2:16" x14ac:dyDescent="0.45">
      <c r="B148" s="28"/>
      <c r="C148" s="28"/>
      <c r="D148" s="25" t="s">
        <v>145</v>
      </c>
      <c r="E148" s="28"/>
      <c r="F148" s="28"/>
      <c r="G148" s="28"/>
      <c r="H148" s="28"/>
      <c r="I148" s="26" t="s">
        <v>143</v>
      </c>
      <c r="J148" s="49" cm="1">
        <f t="array" aca="1" ref="J148" ca="1">_xll.VoseOutput("Total impact (simulated)","US$m")+O142</f>
        <v>131.22591357811388</v>
      </c>
      <c r="K148" s="28"/>
      <c r="L148" s="28"/>
      <c r="M148" s="28"/>
      <c r="N148" s="28"/>
      <c r="O148" s="28"/>
      <c r="P148" s="26" t="s">
        <v>146</v>
      </c>
    </row>
    <row r="149" spans="2:16" x14ac:dyDescent="0.45">
      <c r="B149" s="28"/>
      <c r="C149" s="28"/>
      <c r="D149" s="25" t="s">
        <v>147</v>
      </c>
      <c r="E149" s="28"/>
      <c r="F149" s="28"/>
      <c r="G149" s="28"/>
      <c r="H149" s="28"/>
      <c r="I149" s="26" t="s">
        <v>143</v>
      </c>
      <c r="J149" s="49" cm="1">
        <f t="array" aca="1" ref="J149" ca="1">_xll.VoseOutput("CLT approximation","US$m")+_xll.VoseNormal(TotalMean,TotalSD)</f>
        <v>228.05677275827</v>
      </c>
      <c r="K149" s="28"/>
      <c r="L149" s="28"/>
      <c r="M149" s="28"/>
      <c r="N149" s="28"/>
      <c r="O149" s="28"/>
      <c r="P149" s="26" t="s">
        <v>148</v>
      </c>
    </row>
    <row r="150" spans="2:16" ht="8" customHeight="1" x14ac:dyDescent="0.45"/>
    <row r="151" spans="2:16" ht="22.05" customHeight="1" x14ac:dyDescent="0.5">
      <c r="B151" s="7" t="s">
        <v>149</v>
      </c>
      <c r="C151" s="8"/>
      <c r="D151" s="8"/>
      <c r="E151" s="8"/>
      <c r="F151" s="8"/>
      <c r="G151" s="8"/>
      <c r="H151" s="8"/>
      <c r="I151" s="8"/>
      <c r="J151" s="8"/>
      <c r="K151" s="8"/>
      <c r="L151" s="8"/>
      <c r="M151" s="8"/>
      <c r="N151" s="8"/>
      <c r="O151" s="8"/>
      <c r="P151" s="8"/>
    </row>
    <row r="152" spans="2:16" ht="18" customHeight="1" x14ac:dyDescent="0.45">
      <c r="B152" s="13" t="s">
        <v>150</v>
      </c>
    </row>
    <row r="153" spans="2:16" x14ac:dyDescent="0.45">
      <c r="B153" s="28"/>
      <c r="C153" s="28"/>
      <c r="D153" s="25" t="s">
        <v>151</v>
      </c>
      <c r="E153" s="28"/>
      <c r="F153" s="28"/>
      <c r="G153" s="28"/>
      <c r="H153" s="28"/>
      <c r="I153" s="50" t="str">
        <f>IF(AND(MIN(C10:C141)&gt;=0,MAX(C10:C141)&lt;=1),"OK","CHECK")</f>
        <v>OK</v>
      </c>
      <c r="J153" s="28"/>
      <c r="K153" s="28"/>
      <c r="L153" s="28"/>
      <c r="M153" s="28"/>
      <c r="N153" s="28"/>
      <c r="O153" s="28"/>
      <c r="P153" s="28"/>
    </row>
    <row r="154" spans="2:16" x14ac:dyDescent="0.45">
      <c r="B154" s="28"/>
      <c r="C154" s="28"/>
      <c r="D154" s="25" t="s">
        <v>152</v>
      </c>
      <c r="E154" s="28"/>
      <c r="F154" s="28"/>
      <c r="G154" s="28"/>
      <c r="H154" s="28"/>
      <c r="I154" s="50" t="str">
        <f>IF(SUMPRODUCT(ISNUMBER(G10:G141)*((E10:E141&gt;F10:F141)+(F10:F141&gt;G10:G141)))=0,"OK","CHECK")</f>
        <v>OK</v>
      </c>
      <c r="J154" s="28"/>
      <c r="K154" s="28"/>
      <c r="L154" s="28"/>
      <c r="M154" s="28"/>
      <c r="N154" s="28"/>
      <c r="O154" s="28"/>
      <c r="P154" s="28"/>
    </row>
    <row r="155" spans="2:16" ht="14" customHeight="1" x14ac:dyDescent="0.45"/>
  </sheetData>
  <conditionalFormatting sqref="I153:I154">
    <cfRule type="expression" dxfId="3" priority="1">
      <formula>I153="CHECK"</formula>
    </cfRule>
  </conditionalFormatting>
  <dataValidations count="1">
    <dataValidation type="decimal" showErrorMessage="1" errorTitle="Probability" error="Enter a value between 0% and 100%." sqref="C10:C141" xr:uid="{00000000-0002-0000-0200-000000000000}">
      <formula1>0</formula1>
      <formula2>1</formula2>
    </dataValidation>
  </dataValidations>
  <hyperlinks>
    <hyperlink ref="B4" location="'Inputs'!A1" display="◂  Inputs" xr:uid="{00000000-0004-0000-0200-000000000000}"/>
    <hyperlink ref="P4" location="'Results'!A1" display="Next:  Results  ▸" xr:uid="{00000000-0004-0000-0200-000001000000}"/>
  </hyperlinks>
  <printOptions horizontalCentered="1"/>
  <pageMargins left="0.4" right="0.4" top="0.5" bottom="0.6" header="0.25" footer="0.25"/>
  <pageSetup paperSize="9" scale="67"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0"/>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153</v>
      </c>
      <c r="C3" s="1"/>
      <c r="D3" s="1"/>
      <c r="E3" s="1"/>
      <c r="F3" s="1"/>
      <c r="G3" s="1"/>
      <c r="H3" s="1"/>
      <c r="I3" s="1"/>
      <c r="J3" s="1"/>
      <c r="K3" s="1"/>
      <c r="L3" s="1"/>
      <c r="M3" s="1"/>
      <c r="N3" s="1"/>
      <c r="O3" s="1"/>
      <c r="P3" s="1"/>
      <c r="Q3" s="1"/>
      <c r="R3" s="1"/>
    </row>
    <row r="4" spans="1:18" ht="20" customHeight="1" x14ac:dyDescent="0.45">
      <c r="A4" s="5"/>
      <c r="B4" s="22" t="s">
        <v>154</v>
      </c>
      <c r="C4" s="5"/>
      <c r="D4" s="5"/>
      <c r="E4" s="5"/>
      <c r="F4" s="5"/>
      <c r="G4" s="5"/>
      <c r="H4" s="5"/>
      <c r="I4" s="5"/>
      <c r="J4" s="5"/>
      <c r="K4" s="5"/>
      <c r="L4" s="5"/>
      <c r="M4" s="5"/>
      <c r="N4" s="5"/>
      <c r="O4" s="5"/>
      <c r="P4" s="5"/>
      <c r="Q4" s="5"/>
      <c r="R4" s="5"/>
    </row>
    <row r="5" spans="1:18" ht="8" customHeight="1" x14ac:dyDescent="0.45"/>
    <row r="6" spans="1:18" ht="26" customHeight="1" x14ac:dyDescent="0.45">
      <c r="B6" s="51" t="str" cm="1">
        <f t="array" aca="1" ref="B6" ca="1">IF(ISNUMBER(_xll.VoseSimMean(Total)),"✔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2"/>
      <c r="D6" s="52"/>
      <c r="E6" s="52"/>
      <c r="F6" s="52"/>
      <c r="G6" s="52"/>
    </row>
    <row r="7" spans="1:18" x14ac:dyDescent="0.45">
      <c r="B7" s="53"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155</v>
      </c>
      <c r="C9" s="8"/>
      <c r="D9" s="8"/>
      <c r="E9" s="8"/>
      <c r="F9" s="8"/>
      <c r="G9" s="8"/>
      <c r="I9" s="54" t="s">
        <v>156</v>
      </c>
      <c r="J9" s="8"/>
      <c r="K9" s="8"/>
      <c r="L9" s="8"/>
      <c r="M9" s="8"/>
      <c r="N9" s="8"/>
      <c r="O9" s="8"/>
      <c r="P9" s="8"/>
      <c r="Q9" s="8"/>
      <c r="R9" s="8"/>
    </row>
    <row r="10" spans="1:18" ht="18" customHeight="1" x14ac:dyDescent="0.45">
      <c r="B10" s="13" t="s">
        <v>157</v>
      </c>
    </row>
    <row r="11" spans="1:18" ht="18" customHeight="1" x14ac:dyDescent="0.45">
      <c r="B11" s="23" t="s">
        <v>158</v>
      </c>
      <c r="C11" s="23" t="s">
        <v>96</v>
      </c>
      <c r="D11" s="24" t="s">
        <v>140</v>
      </c>
      <c r="E11" s="5"/>
      <c r="F11" s="5"/>
      <c r="G11" s="5"/>
    </row>
    <row r="12" spans="1:18" x14ac:dyDescent="0.45">
      <c r="B12" s="55" t="s">
        <v>159</v>
      </c>
      <c r="C12" s="26" t="s">
        <v>143</v>
      </c>
      <c r="D12" s="39">
        <f>TotalMean</f>
        <v>188.58380058275054</v>
      </c>
      <c r="E12" s="28"/>
      <c r="F12" s="28"/>
      <c r="G12" s="28"/>
    </row>
    <row r="13" spans="1:18" x14ac:dyDescent="0.45">
      <c r="B13" s="55" t="s">
        <v>142</v>
      </c>
      <c r="C13" s="26" t="s">
        <v>143</v>
      </c>
      <c r="D13" s="39">
        <f>TotalSD</f>
        <v>53.211108878432569</v>
      </c>
      <c r="E13" s="28"/>
      <c r="F13" s="28"/>
      <c r="G13" s="28"/>
    </row>
    <row r="14" spans="1:18" x14ac:dyDescent="0.45">
      <c r="B14" s="25" t="s">
        <v>160</v>
      </c>
      <c r="C14" s="26" t="s">
        <v>143</v>
      </c>
      <c r="D14" s="56" cm="1">
        <f t="array" aca="1" ref="D14" ca="1">_xll.VoseSimMean(Total)</f>
        <v>187.30689855341612</v>
      </c>
      <c r="E14" s="28"/>
      <c r="F14" s="28"/>
      <c r="G14" s="28"/>
    </row>
    <row r="15" spans="1:18" x14ac:dyDescent="0.45">
      <c r="B15" s="25" t="s">
        <v>161</v>
      </c>
      <c r="C15" s="26" t="s">
        <v>143</v>
      </c>
      <c r="D15" s="56" cm="1">
        <f t="array" aca="1" ref="D15" ca="1">_xll.VoseSimStdev(Total)</f>
        <v>52.332189718255314</v>
      </c>
      <c r="E15" s="28"/>
      <c r="F15" s="28"/>
      <c r="G15" s="28"/>
    </row>
    <row r="16" spans="1:18" ht="22.05" customHeight="1" x14ac:dyDescent="0.45">
      <c r="B16" s="34" t="s">
        <v>162</v>
      </c>
      <c r="C16" s="26" t="s">
        <v>143</v>
      </c>
      <c r="D16" s="57" cm="1">
        <f t="array" aca="1" ref="D16" ca="1">_xll.VoseSimPercentile(Total,Confidence)</f>
        <v>256.94183095504138</v>
      </c>
      <c r="E16" s="28"/>
      <c r="F16" s="28"/>
      <c r="G16" s="28"/>
    </row>
    <row r="17" spans="2:7" x14ac:dyDescent="0.45">
      <c r="B17" s="58" t="s">
        <v>163</v>
      </c>
      <c r="C17" s="26" t="s">
        <v>143</v>
      </c>
      <c r="D17" s="39" cm="1">
        <f t="array" ref="D17">_xll.VoseNormal(TotalMean,TotalSD,Confidence)</f>
        <v>256.77658047027001</v>
      </c>
      <c r="E17" s="28"/>
      <c r="F17" s="28"/>
      <c r="G17" s="28"/>
    </row>
    <row r="18" spans="2:7" x14ac:dyDescent="0.45">
      <c r="B18" s="25" t="s">
        <v>164</v>
      </c>
      <c r="C18" s="26" t="s">
        <v>143</v>
      </c>
      <c r="D18" s="56">
        <f ca="1">IFERROR(D17-D16,"–")</f>
        <v>-0.16525048477137716</v>
      </c>
      <c r="E18" s="28"/>
      <c r="F18" s="28"/>
      <c r="G18" s="28"/>
    </row>
    <row r="19" spans="2:7" x14ac:dyDescent="0.45">
      <c r="B19" s="55" t="s">
        <v>165</v>
      </c>
      <c r="C19" s="26"/>
      <c r="D19" s="59">
        <f>Confidence</f>
        <v>0.9</v>
      </c>
      <c r="E19" s="28"/>
      <c r="F19" s="28"/>
      <c r="G19" s="28"/>
    </row>
    <row r="20" spans="2:7" ht="8" customHeight="1" x14ac:dyDescent="0.45"/>
    <row r="21" spans="2:7" ht="22.05" customHeight="1" x14ac:dyDescent="0.5">
      <c r="B21" s="7" t="s">
        <v>166</v>
      </c>
      <c r="C21" s="8"/>
      <c r="D21" s="8"/>
      <c r="E21" s="8"/>
      <c r="F21" s="8"/>
      <c r="G21" s="8"/>
    </row>
    <row r="22" spans="2:7" ht="18" customHeight="1" x14ac:dyDescent="0.45">
      <c r="B22" s="13" t="s">
        <v>167</v>
      </c>
    </row>
    <row r="23" spans="2:7" ht="18" customHeight="1" x14ac:dyDescent="0.45">
      <c r="B23" s="23" t="s">
        <v>168</v>
      </c>
      <c r="C23" s="5"/>
      <c r="D23" s="24" t="s">
        <v>169</v>
      </c>
      <c r="E23" s="24" t="s">
        <v>61</v>
      </c>
      <c r="F23" s="24" t="s">
        <v>170</v>
      </c>
      <c r="G23" s="5"/>
    </row>
    <row r="24" spans="2:7" x14ac:dyDescent="0.45">
      <c r="B24" s="25" t="s">
        <v>171</v>
      </c>
      <c r="C24" s="28"/>
      <c r="D24" s="56" cm="1">
        <f t="array" aca="1" ref="D24" ca="1">_xll.VoseSimPercentile(Total,0.01)</f>
        <v>84.12922343286948</v>
      </c>
      <c r="E24" s="39" cm="1">
        <f t="array" ref="E24">_xll.VoseNormal(TotalMean,TotalSD,0.01)</f>
        <v>64.796250568053225</v>
      </c>
      <c r="F24" s="60">
        <f t="shared" ref="F24:F30" ca="1" si="0">IFERROR(E24-D24,"–")</f>
        <v>-19.332972864816256</v>
      </c>
      <c r="G24" s="28"/>
    </row>
    <row r="25" spans="2:7" x14ac:dyDescent="0.45">
      <c r="B25" s="25" t="s">
        <v>172</v>
      </c>
      <c r="C25" s="28"/>
      <c r="D25" s="56" cm="1">
        <f t="array" aca="1" ref="D25" ca="1">_xll.VoseSimPercentile(Total,0.05)</f>
        <v>109.97257945278466</v>
      </c>
      <c r="E25" s="39" cm="1">
        <f t="array" ref="E25">_xll.VoseNormal(TotalMean,TotalSD,0.05)</f>
        <v>101.05931514995102</v>
      </c>
      <c r="F25" s="60">
        <f t="shared" ca="1" si="0"/>
        <v>-8.9132643028336389</v>
      </c>
      <c r="G25" s="28"/>
    </row>
    <row r="26" spans="2:7" x14ac:dyDescent="0.45">
      <c r="B26" s="25" t="s">
        <v>173</v>
      </c>
      <c r="C26" s="28"/>
      <c r="D26" s="56" cm="1">
        <f t="array" aca="1" ref="D26" ca="1">_xll.VoseSimPercentile(Total,0.1)</f>
        <v>123.73199891600093</v>
      </c>
      <c r="E26" s="39" cm="1">
        <f t="array" ref="E26">_xll.VoseNormal(TotalMean,TotalSD,0.1)</f>
        <v>120.39102069523108</v>
      </c>
      <c r="F26" s="60">
        <f t="shared" ca="1" si="0"/>
        <v>-3.3409782207698555</v>
      </c>
      <c r="G26" s="28"/>
    </row>
    <row r="27" spans="2:7" x14ac:dyDescent="0.45">
      <c r="B27" s="34" t="s">
        <v>174</v>
      </c>
      <c r="C27" s="28"/>
      <c r="D27" s="56" cm="1">
        <f t="array" aca="1" ref="D27" ca="1">_xll.VoseSimPercentile(Total,0.5)</f>
        <v>182.39085798712864</v>
      </c>
      <c r="E27" s="39" cm="1">
        <f t="array" ref="E27">_xll.VoseNormal(TotalMean,TotalSD,0.5)</f>
        <v>188.58380058275054</v>
      </c>
      <c r="F27" s="60">
        <f t="shared" ca="1" si="0"/>
        <v>6.1929425956219006</v>
      </c>
      <c r="G27" s="28"/>
    </row>
    <row r="28" spans="2:7" x14ac:dyDescent="0.45">
      <c r="B28" s="34" t="s">
        <v>175</v>
      </c>
      <c r="C28" s="28"/>
      <c r="D28" s="56" cm="1">
        <f t="array" aca="1" ref="D28" ca="1">_xll.VoseSimPercentile(Total,0.9)</f>
        <v>256.94183095504138</v>
      </c>
      <c r="E28" s="39" cm="1">
        <f t="array" ref="E28">_xll.VoseNormal(TotalMean,TotalSD,0.9)</f>
        <v>256.77658047027001</v>
      </c>
      <c r="F28" s="60">
        <f t="shared" ca="1" si="0"/>
        <v>-0.16525048477137716</v>
      </c>
      <c r="G28" s="28"/>
    </row>
    <row r="29" spans="2:7" x14ac:dyDescent="0.45">
      <c r="B29" s="25" t="s">
        <v>176</v>
      </c>
      <c r="C29" s="28"/>
      <c r="D29" s="56" cm="1">
        <f t="array" aca="1" ref="D29" ca="1">_xll.VoseSimPercentile(Total,0.95)</f>
        <v>280.36143622083495</v>
      </c>
      <c r="E29" s="39" cm="1">
        <f t="array" ref="E29">_xll.VoseNormal(TotalMean,TotalSD,0.95)</f>
        <v>276.10828601554999</v>
      </c>
      <c r="F29" s="60">
        <f t="shared" ca="1" si="0"/>
        <v>-4.2531502052849532</v>
      </c>
      <c r="G29" s="28"/>
    </row>
    <row r="30" spans="2:7" x14ac:dyDescent="0.45">
      <c r="B30" s="25" t="s">
        <v>177</v>
      </c>
      <c r="C30" s="28"/>
      <c r="D30" s="56" cm="1">
        <f t="array" aca="1" ref="D30" ca="1">_xll.VoseSimPercentile(Total,0.99)</f>
        <v>326.25421740039553</v>
      </c>
      <c r="E30" s="39" cm="1">
        <f t="array" ref="E30">_xll.VoseNormal(TotalMean,TotalSD,0.99)</f>
        <v>312.37135059744787</v>
      </c>
      <c r="F30" s="60">
        <f t="shared" ca="1" si="0"/>
        <v>-13.88286680294766</v>
      </c>
      <c r="G30" s="28"/>
    </row>
    <row r="31" spans="2:7" ht="8" customHeight="1" x14ac:dyDescent="0.45"/>
    <row r="32" spans="2:7" ht="22.05" customHeight="1" x14ac:dyDescent="0.5">
      <c r="B32" s="7" t="s">
        <v>178</v>
      </c>
      <c r="C32" s="8"/>
      <c r="D32" s="8"/>
      <c r="E32" s="8"/>
      <c r="F32" s="8"/>
      <c r="G32" s="8"/>
    </row>
    <row r="33" spans="2:7" ht="18" customHeight="1" x14ac:dyDescent="0.45">
      <c r="B33" s="13" t="s">
        <v>179</v>
      </c>
    </row>
    <row r="34" spans="2:7" ht="18" customHeight="1" x14ac:dyDescent="0.45">
      <c r="B34" s="23" t="s">
        <v>158</v>
      </c>
      <c r="C34" s="23" t="s">
        <v>96</v>
      </c>
      <c r="D34" s="24" t="s">
        <v>140</v>
      </c>
      <c r="E34" s="5"/>
      <c r="F34" s="5"/>
      <c r="G34" s="5"/>
    </row>
    <row r="35" spans="2:7" x14ac:dyDescent="0.45">
      <c r="B35" s="25" t="s">
        <v>180</v>
      </c>
      <c r="C35" s="26"/>
      <c r="D35" s="61" cm="1">
        <f t="array" aca="1" ref="D35" ca="1">_xll.VoseSimSkewness(Total)</f>
        <v>0.4962730227369993</v>
      </c>
      <c r="E35" s="28"/>
      <c r="F35" s="28"/>
      <c r="G35" s="28"/>
    </row>
    <row r="36" spans="2:7" x14ac:dyDescent="0.45">
      <c r="B36" s="55" t="s">
        <v>181</v>
      </c>
      <c r="C36" s="26" t="s">
        <v>182</v>
      </c>
      <c r="D36" s="59">
        <f>MAX(RiskVar)/TotalVar</f>
        <v>0.20874669245355965</v>
      </c>
      <c r="E36" s="28"/>
      <c r="F36" s="28"/>
      <c r="G36" s="28"/>
    </row>
    <row r="37" spans="2:7" ht="22.05" customHeight="1" x14ac:dyDescent="0.5">
      <c r="B37" s="7" t="s">
        <v>183</v>
      </c>
      <c r="C37" s="8"/>
      <c r="D37" s="8"/>
      <c r="E37" s="8"/>
      <c r="F37" s="8"/>
      <c r="G37" s="8"/>
    </row>
    <row r="38" spans="2:7" ht="18" customHeight="1" x14ac:dyDescent="0.45">
      <c r="B38" s="13" t="s">
        <v>184</v>
      </c>
    </row>
    <row r="39" spans="2:7" ht="30" customHeight="1" x14ac:dyDescent="0.45">
      <c r="B39" s="23" t="s">
        <v>185</v>
      </c>
      <c r="C39" s="24" t="s">
        <v>110</v>
      </c>
      <c r="D39" s="24" t="s">
        <v>186</v>
      </c>
      <c r="E39" s="24" t="s">
        <v>187</v>
      </c>
      <c r="F39" s="24" t="s">
        <v>188</v>
      </c>
      <c r="G39" s="5"/>
    </row>
    <row r="40" spans="2:7" x14ac:dyDescent="0.45">
      <c r="B40" s="25" t="str">
        <f>"Risk "&amp;INDEX(RiskID,MATCH(LARGE(RiskVar,1),RiskVar,0))</f>
        <v>Risk 29</v>
      </c>
      <c r="C40" s="62">
        <f>INDEX(RiskP,MATCH(LARGE(RiskVar,1),RiskVar,0))</f>
        <v>0.3</v>
      </c>
      <c r="D40" s="39">
        <f>INDEX(RiskMeanIf,MATCH(LARGE(RiskVar,1),RiskVar,0))</f>
        <v>45</v>
      </c>
      <c r="E40" s="62">
        <f>LARGE(RiskVar,1)/TotalVar</f>
        <v>0.20874669245355965</v>
      </c>
      <c r="F40" s="59">
        <f>SUM(E40:E40)</f>
        <v>0.20874669245355965</v>
      </c>
      <c r="G40" s="28"/>
    </row>
    <row r="41" spans="2:7" x14ac:dyDescent="0.45">
      <c r="B41" s="25" t="str">
        <f>"Risk "&amp;INDEX(RiskID,MATCH(LARGE(RiskVar,2),RiskVar,0))</f>
        <v>Risk 45</v>
      </c>
      <c r="C41" s="62">
        <f>INDEX(RiskP,MATCH(LARGE(RiskVar,2),RiskVar,0))</f>
        <v>0.4</v>
      </c>
      <c r="D41" s="39">
        <f>INDEX(RiskMeanIf,MATCH(LARGE(RiskVar,2),RiskVar,0))</f>
        <v>33.666666666666664</v>
      </c>
      <c r="E41" s="62">
        <f>LARGE(RiskVar,2)/TotalVar</f>
        <v>0.14428601161581239</v>
      </c>
      <c r="F41" s="59">
        <f>SUM(E40:E41)</f>
        <v>0.35303270406937204</v>
      </c>
      <c r="G41" s="28"/>
    </row>
    <row r="42" spans="2:7" x14ac:dyDescent="0.45">
      <c r="B42" s="25" t="str">
        <f>"Risk "&amp;INDEX(RiskID,MATCH(LARGE(RiskVar,3),RiskVar,0))</f>
        <v>Risk 102</v>
      </c>
      <c r="C42" s="62">
        <f>INDEX(RiskP,MATCH(LARGE(RiskVar,3),RiskVar,0))</f>
        <v>0.7</v>
      </c>
      <c r="D42" s="39">
        <f>INDEX(RiskMeanIf,MATCH(LARGE(RiskVar,3),RiskVar,0))</f>
        <v>28</v>
      </c>
      <c r="E42" s="62">
        <f>LARGE(RiskVar,3)/TotalVar</f>
        <v>0.10565597613078204</v>
      </c>
      <c r="F42" s="59">
        <f>SUM(E40:E42)</f>
        <v>0.45868868020015408</v>
      </c>
      <c r="G42" s="28"/>
    </row>
    <row r="43" spans="2:7" x14ac:dyDescent="0.45">
      <c r="B43" s="25" t="str">
        <f>"Risk "&amp;INDEX(RiskID,MATCH(LARGE(RiskVar,4),RiskVar,0))</f>
        <v>Risk 94</v>
      </c>
      <c r="C43" s="62">
        <f>INDEX(RiskP,MATCH(LARGE(RiskVar,4),RiskVar,0))</f>
        <v>0.2</v>
      </c>
      <c r="D43" s="39">
        <f>INDEX(RiskMeanIf,MATCH(LARGE(RiskVar,4),RiskVar,0))</f>
        <v>26</v>
      </c>
      <c r="E43" s="62">
        <f>LARGE(RiskVar,4)/TotalVar</f>
        <v>5.1138024570948459E-2</v>
      </c>
      <c r="F43" s="59">
        <f>SUM(E40:E43)</f>
        <v>0.50982670477110248</v>
      </c>
      <c r="G43" s="28"/>
    </row>
    <row r="44" spans="2:7" x14ac:dyDescent="0.45">
      <c r="B44" s="25" t="str">
        <f>"Risk "&amp;INDEX(RiskID,MATCH(LARGE(RiskVar,5),RiskVar,0))</f>
        <v>Risk 23</v>
      </c>
      <c r="C44" s="62">
        <f>INDEX(RiskP,MATCH(LARGE(RiskVar,5),RiskVar,0))</f>
        <v>0.6</v>
      </c>
      <c r="D44" s="39">
        <f>INDEX(RiskMeanIf,MATCH(LARGE(RiskVar,5),RiskVar,0))</f>
        <v>19.166666666666668</v>
      </c>
      <c r="E44" s="62">
        <f>LARGE(RiskVar,5)/TotalVar</f>
        <v>4.7590925992923042E-2</v>
      </c>
      <c r="F44" s="59">
        <f>SUM(E40:E44)</f>
        <v>0.55741763076402551</v>
      </c>
      <c r="G44" s="28"/>
    </row>
    <row r="45" spans="2:7" x14ac:dyDescent="0.45">
      <c r="B45" s="25" t="str">
        <f>"Risk "&amp;INDEX(RiskID,MATCH(LARGE(RiskVar,6),RiskVar,0))</f>
        <v>Risk 40</v>
      </c>
      <c r="C45" s="62">
        <f>INDEX(RiskP,MATCH(LARGE(RiskVar,6),RiskVar,0))</f>
        <v>0.6</v>
      </c>
      <c r="D45" s="39">
        <f>INDEX(RiskMeanIf,MATCH(LARGE(RiskVar,6),RiskVar,0))</f>
        <v>17.5</v>
      </c>
      <c r="E45" s="62">
        <f>LARGE(RiskVar,6)/TotalVar</f>
        <v>3.7197360390439985E-2</v>
      </c>
      <c r="F45" s="59">
        <f>SUM(E40:E45)</f>
        <v>0.59461499115446548</v>
      </c>
      <c r="G45" s="28"/>
    </row>
    <row r="46" spans="2:7" x14ac:dyDescent="0.45">
      <c r="B46" s="25" t="str">
        <f>"Risk "&amp;INDEX(RiskID,MATCH(LARGE(RiskVar,7),RiskVar,0))</f>
        <v>Risk 31</v>
      </c>
      <c r="C46" s="62">
        <f>INDEX(RiskP,MATCH(LARGE(RiskVar,7),RiskVar,0))</f>
        <v>0.2</v>
      </c>
      <c r="D46" s="39">
        <f>INDEX(RiskMeanIf,MATCH(LARGE(RiskVar,7),RiskVar,0))</f>
        <v>20.833333333333332</v>
      </c>
      <c r="E46" s="62">
        <f>LARGE(RiskVar,7)/TotalVar</f>
        <v>3.2062243836030874E-2</v>
      </c>
      <c r="F46" s="59">
        <f>SUM(E40:E46)</f>
        <v>0.62667723499049632</v>
      </c>
      <c r="G46" s="28"/>
    </row>
    <row r="47" spans="2:7" x14ac:dyDescent="0.45">
      <c r="B47" s="25" t="str">
        <f>"Risk "&amp;INDEX(RiskID,MATCH(LARGE(RiskVar,8),RiskVar,0))</f>
        <v>Risk 85</v>
      </c>
      <c r="C47" s="62">
        <f>INDEX(RiskP,MATCH(LARGE(RiskVar,8),RiskVar,0))</f>
        <v>0.4</v>
      </c>
      <c r="D47" s="39">
        <f>INDEX(RiskMeanIf,MATCH(LARGE(RiskVar,8),RiskVar,0))</f>
        <v>16.600000000000001</v>
      </c>
      <c r="E47" s="62">
        <f>LARGE(RiskVar,8)/TotalVar</f>
        <v>3.0299403171081752E-2</v>
      </c>
      <c r="F47" s="59">
        <f>SUM(E40:E47)</f>
        <v>0.65697663816157803</v>
      </c>
      <c r="G47" s="28"/>
    </row>
    <row r="48" spans="2:7" x14ac:dyDescent="0.45">
      <c r="B48" s="25" t="str">
        <f>"Risk "&amp;INDEX(RiskID,MATCH(LARGE(RiskVar,9),RiskVar,0))</f>
        <v>Risk 90</v>
      </c>
      <c r="C48" s="62">
        <f>INDEX(RiskP,MATCH(LARGE(RiskVar,9),RiskVar,0))</f>
        <v>0.05</v>
      </c>
      <c r="D48" s="39">
        <f>INDEX(RiskMeanIf,MATCH(LARGE(RiskVar,9),RiskVar,0))</f>
        <v>37</v>
      </c>
      <c r="E48" s="62">
        <f>LARGE(RiskVar,9)/TotalVar</f>
        <v>2.9255911048079959E-2</v>
      </c>
      <c r="F48" s="59">
        <f>SUM(E40:E48)</f>
        <v>0.68623254920965804</v>
      </c>
      <c r="G48" s="28"/>
    </row>
    <row r="49" spans="2:7" x14ac:dyDescent="0.45">
      <c r="B49" s="25" t="str">
        <f>"Risk "&amp;INDEX(RiskID,MATCH(LARGE(RiskVar,10),RiskVar,0))</f>
        <v>Risk 97</v>
      </c>
      <c r="C49" s="62">
        <f>INDEX(RiskP,MATCH(LARGE(RiskVar,10),RiskVar,0))</f>
        <v>0.05</v>
      </c>
      <c r="D49" s="39">
        <f>INDEX(RiskMeanIf,MATCH(LARGE(RiskVar,10),RiskVar,0))</f>
        <v>35</v>
      </c>
      <c r="E49" s="62">
        <f>LARGE(RiskVar,10)/TotalVar</f>
        <v>2.6381030620752362E-2</v>
      </c>
      <c r="F49" s="59">
        <f>SUM(E40:E49)</f>
        <v>0.7126135798304104</v>
      </c>
      <c r="G49" s="28"/>
    </row>
    <row r="50" spans="2:7" ht="8" customHeight="1" x14ac:dyDescent="0.45"/>
    <row r="51" spans="2:7" ht="22.05" customHeight="1" x14ac:dyDescent="0.5">
      <c r="B51" s="7" t="s">
        <v>189</v>
      </c>
      <c r="C51" s="8"/>
      <c r="D51" s="8"/>
      <c r="E51" s="8"/>
      <c r="F51" s="8"/>
      <c r="G51" s="8"/>
    </row>
    <row r="52" spans="2:7" ht="32" customHeight="1" x14ac:dyDescent="0.45">
      <c r="B52" s="67" t="s">
        <v>190</v>
      </c>
      <c r="C52" s="66"/>
      <c r="D52" s="66"/>
      <c r="E52" s="66"/>
      <c r="F52" s="66"/>
      <c r="G52" s="66"/>
    </row>
    <row r="53" spans="2:7" ht="32" customHeight="1" x14ac:dyDescent="0.45">
      <c r="B53" s="67" t="s">
        <v>191</v>
      </c>
      <c r="C53" s="66"/>
      <c r="D53" s="66"/>
      <c r="E53" s="66"/>
      <c r="F53" s="66"/>
      <c r="G53" s="66"/>
    </row>
    <row r="54" spans="2:7" ht="32" customHeight="1" x14ac:dyDescent="0.45">
      <c r="B54" s="67" t="s">
        <v>192</v>
      </c>
      <c r="C54" s="66"/>
      <c r="D54" s="66"/>
      <c r="E54" s="66"/>
      <c r="F54" s="66"/>
      <c r="G54" s="66"/>
    </row>
    <row r="55" spans="2:7" ht="32" customHeight="1" x14ac:dyDescent="0.45">
      <c r="B55" s="67" t="s">
        <v>193</v>
      </c>
      <c r="C55" s="66"/>
      <c r="D55" s="66"/>
      <c r="E55" s="66"/>
      <c r="F55" s="66"/>
      <c r="G55" s="66"/>
    </row>
    <row r="56" spans="2:7" ht="14" customHeight="1" x14ac:dyDescent="0.45"/>
    <row r="57" spans="2:7" ht="14" customHeight="1" x14ac:dyDescent="0.45"/>
    <row r="58" spans="2:7" ht="22.05" customHeight="1" x14ac:dyDescent="0.5">
      <c r="B58" s="7" t="s">
        <v>194</v>
      </c>
      <c r="C58" s="8"/>
      <c r="D58" s="8"/>
      <c r="E58" s="8"/>
      <c r="F58" s="8"/>
      <c r="G58" s="8"/>
    </row>
    <row r="59" spans="2:7" ht="18" customHeight="1" x14ac:dyDescent="0.45">
      <c r="B59" s="13" t="s">
        <v>195</v>
      </c>
    </row>
    <row r="60" spans="2:7" ht="28.05" hidden="1" customHeight="1" outlineLevel="1" x14ac:dyDescent="0.45">
      <c r="B60" s="24" t="s">
        <v>196</v>
      </c>
      <c r="C60" s="24" t="s">
        <v>197</v>
      </c>
      <c r="D60" s="24" t="s">
        <v>135</v>
      </c>
      <c r="E60" s="24" t="s">
        <v>61</v>
      </c>
      <c r="F60" s="5"/>
      <c r="G60" s="5"/>
    </row>
    <row r="61" spans="2:7" hidden="1" outlineLevel="1" x14ac:dyDescent="0.45">
      <c r="B61" s="63">
        <v>0.01</v>
      </c>
      <c r="C61" s="63">
        <f t="shared" ref="C61:C92" si="1">1-B61</f>
        <v>0.99</v>
      </c>
      <c r="D61" s="64" cm="1">
        <f t="array" aca="1" ref="D61" ca="1">IF(ISNUMBER(_xll.VoseSimPercentile(Total,$B61)),_xll.VoseSimPercentile(Total,$B61),NA())</f>
        <v>84.12922343286948</v>
      </c>
      <c r="E61" s="64" cm="1">
        <f t="array" aca="1" ref="E61" ca="1">IF(ISNUMBER(_xll.VoseSimPercentile(CLT,$B61)),_xll.VoseSimPercentile(CLT,$B61),NA())</f>
        <v>64.19097998974847</v>
      </c>
    </row>
    <row r="62" spans="2:7" hidden="1" outlineLevel="1" x14ac:dyDescent="0.45">
      <c r="B62" s="63">
        <v>0.03</v>
      </c>
      <c r="C62" s="63">
        <f t="shared" si="1"/>
        <v>0.97</v>
      </c>
      <c r="D62" s="64" cm="1">
        <f t="array" aca="1" ref="D62" ca="1">IF(ISNUMBER(_xll.VoseSimPercentile(Total,$B62)),_xll.VoseSimPercentile(Total,$B62),NA())</f>
        <v>100.58847869807187</v>
      </c>
      <c r="E62" s="64" cm="1">
        <f t="array" aca="1" ref="E62" ca="1">IF(ISNUMBER(_xll.VoseSimPercentile(CLT,$B62)),_xll.VoseSimPercentile(CLT,$B62),NA())</f>
        <v>87.699506260306308</v>
      </c>
    </row>
    <row r="63" spans="2:7" hidden="1" outlineLevel="1" x14ac:dyDescent="0.45">
      <c r="B63" s="63">
        <v>0.05</v>
      </c>
      <c r="C63" s="63">
        <f t="shared" si="1"/>
        <v>0.95</v>
      </c>
      <c r="D63" s="64" cm="1">
        <f t="array" aca="1" ref="D63" ca="1">IF(ISNUMBER(_xll.VoseSimPercentile(Total,$B63)),_xll.VoseSimPercentile(Total,$B63),NA())</f>
        <v>109.97257945278466</v>
      </c>
      <c r="E63" s="64" cm="1">
        <f t="array" aca="1" ref="E63" ca="1">IF(ISNUMBER(_xll.VoseSimPercentile(CLT,$B63)),_xll.VoseSimPercentile(CLT,$B63),NA())</f>
        <v>100.99731456544417</v>
      </c>
    </row>
    <row r="64" spans="2:7" hidden="1" outlineLevel="1" x14ac:dyDescent="0.45">
      <c r="B64" s="63">
        <v>7.0000000000000007E-2</v>
      </c>
      <c r="C64" s="63">
        <f t="shared" si="1"/>
        <v>0.92999999999999994</v>
      </c>
      <c r="D64" s="64" cm="1">
        <f t="array" aca="1" ref="D64" ca="1">IF(ISNUMBER(_xll.VoseSimPercentile(Total,$B64)),_xll.VoseSimPercentile(Total,$B64),NA())</f>
        <v>116.19317910709223</v>
      </c>
      <c r="E64" s="64" cm="1">
        <f t="array" aca="1" ref="E64" ca="1">IF(ISNUMBER(_xll.VoseSimPercentile(CLT,$B64)),_xll.VoseSimPercentile(CLT,$B64),NA())</f>
        <v>109.34598025802971</v>
      </c>
    </row>
    <row r="65" spans="2:5" hidden="1" outlineLevel="1" x14ac:dyDescent="0.45">
      <c r="B65" s="63">
        <v>0.09</v>
      </c>
      <c r="C65" s="63">
        <f t="shared" si="1"/>
        <v>0.91</v>
      </c>
      <c r="D65" s="64" cm="1">
        <f t="array" aca="1" ref="D65" ca="1">IF(ISNUMBER(_xll.VoseSimPercentile(Total,$B65)),_xll.VoseSimPercentile(Total,$B65),NA())</f>
        <v>121.03435019989271</v>
      </c>
      <c r="E65" s="64" cm="1">
        <f t="array" aca="1" ref="E65" ca="1">IF(ISNUMBER(_xll.VoseSimPercentile(CLT,$B65)),_xll.VoseSimPercentile(CLT,$B65),NA())</f>
        <v>116.33403028848667</v>
      </c>
    </row>
    <row r="66" spans="2:5" hidden="1" outlineLevel="1" x14ac:dyDescent="0.45">
      <c r="B66" s="63">
        <v>0.11</v>
      </c>
      <c r="C66" s="63">
        <f t="shared" si="1"/>
        <v>0.89</v>
      </c>
      <c r="D66" s="64" cm="1">
        <f t="array" aca="1" ref="D66" ca="1">IF(ISNUMBER(_xll.VoseSimPercentile(Total,$B66)),_xll.VoseSimPercentile(Total,$B66),NA())</f>
        <v>126.15764882198563</v>
      </c>
      <c r="E66" s="64" cm="1">
        <f t="array" aca="1" ref="E66" ca="1">IF(ISNUMBER(_xll.VoseSimPercentile(CLT,$B66)),_xll.VoseSimPercentile(CLT,$B66),NA())</f>
        <v>122.95604284527315</v>
      </c>
    </row>
    <row r="67" spans="2:5" hidden="1" outlineLevel="1" x14ac:dyDescent="0.45">
      <c r="B67" s="63">
        <v>0.13</v>
      </c>
      <c r="C67" s="63">
        <f t="shared" si="1"/>
        <v>0.87</v>
      </c>
      <c r="D67" s="64" cm="1">
        <f t="array" aca="1" ref="D67" ca="1">IF(ISNUMBER(_xll.VoseSimPercentile(Total,$B67)),_xll.VoseSimPercentile(Total,$B67),NA())</f>
        <v>130.05322183581598</v>
      </c>
      <c r="E67" s="64" cm="1">
        <f t="array" aca="1" ref="E67" ca="1">IF(ISNUMBER(_xll.VoseSimPercentile(CLT,$B67)),_xll.VoseSimPercentile(CLT,$B67),NA())</f>
        <v>128.44468047282359</v>
      </c>
    </row>
    <row r="68" spans="2:5" hidden="1" outlineLevel="1" x14ac:dyDescent="0.45">
      <c r="B68" s="63">
        <v>0.15</v>
      </c>
      <c r="C68" s="63">
        <f t="shared" si="1"/>
        <v>0.85</v>
      </c>
      <c r="D68" s="64" cm="1">
        <f t="array" aca="1" ref="D68" ca="1">IF(ISNUMBER(_xll.VoseSimPercentile(Total,$B68)),_xll.VoseSimPercentile(Total,$B68),NA())</f>
        <v>133.81935816764087</v>
      </c>
      <c r="E68" s="64" cm="1">
        <f t="array" aca="1" ref="E68" ca="1">IF(ISNUMBER(_xll.VoseSimPercentile(CLT,$B68)),_xll.VoseSimPercentile(CLT,$B68),NA())</f>
        <v>133.06448087478688</v>
      </c>
    </row>
    <row r="69" spans="2:5" hidden="1" outlineLevel="1" x14ac:dyDescent="0.45">
      <c r="B69" s="63">
        <v>0.17</v>
      </c>
      <c r="C69" s="63">
        <f t="shared" si="1"/>
        <v>0.83</v>
      </c>
      <c r="D69" s="64" cm="1">
        <f t="array" aca="1" ref="D69" ca="1">IF(ISNUMBER(_xll.VoseSimPercentile(Total,$B69)),_xll.VoseSimPercentile(Total,$B69),NA())</f>
        <v>137.41551208377484</v>
      </c>
      <c r="E69" s="64" cm="1">
        <f t="array" aca="1" ref="E69" ca="1">IF(ISNUMBER(_xll.VoseSimPercentile(CLT,$B69)),_xll.VoseSimPercentile(CLT,$B69),NA())</f>
        <v>137.76370353544502</v>
      </c>
    </row>
    <row r="70" spans="2:5" hidden="1" outlineLevel="1" x14ac:dyDescent="0.45">
      <c r="B70" s="63">
        <v>0.19</v>
      </c>
      <c r="C70" s="63">
        <f t="shared" si="1"/>
        <v>0.81</v>
      </c>
      <c r="D70" s="64" cm="1">
        <f t="array" aca="1" ref="D70" ca="1">IF(ISNUMBER(_xll.VoseSimPercentile(Total,$B70)),_xll.VoseSimPercentile(Total,$B70),NA())</f>
        <v>140.9131521816681</v>
      </c>
      <c r="E70" s="64" cm="1">
        <f t="array" aca="1" ref="E70" ca="1">IF(ISNUMBER(_xll.VoseSimPercentile(CLT,$B70)),_xll.VoseSimPercentile(CLT,$B70),NA())</f>
        <v>141.51388174296778</v>
      </c>
    </row>
    <row r="71" spans="2:5" hidden="1" outlineLevel="1" x14ac:dyDescent="0.45">
      <c r="B71" s="63">
        <v>0.21</v>
      </c>
      <c r="C71" s="63">
        <f t="shared" si="1"/>
        <v>0.79</v>
      </c>
      <c r="D71" s="64" cm="1">
        <f t="array" aca="1" ref="D71" ca="1">IF(ISNUMBER(_xll.VoseSimPercentile(Total,$B71)),_xll.VoseSimPercentile(Total,$B71),NA())</f>
        <v>144.16636890754017</v>
      </c>
      <c r="E71" s="64" cm="1">
        <f t="array" aca="1" ref="E71" ca="1">IF(ISNUMBER(_xll.VoseSimPercentile(CLT,$B71)),_xll.VoseSimPercentile(CLT,$B71),NA())</f>
        <v>145.3251716419081</v>
      </c>
    </row>
    <row r="72" spans="2:5" hidden="1" outlineLevel="1" x14ac:dyDescent="0.45">
      <c r="B72" s="63">
        <v>0.23</v>
      </c>
      <c r="C72" s="63">
        <f t="shared" si="1"/>
        <v>0.77</v>
      </c>
      <c r="D72" s="64" cm="1">
        <f t="array" aca="1" ref="D72" ca="1">IF(ISNUMBER(_xll.VoseSimPercentile(Total,$B72)),_xll.VoseSimPercentile(Total,$B72),NA())</f>
        <v>147.06679556515476</v>
      </c>
      <c r="E72" s="64" cm="1">
        <f t="array" aca="1" ref="E72" ca="1">IF(ISNUMBER(_xll.VoseSimPercentile(CLT,$B72)),_xll.VoseSimPercentile(CLT,$B72),NA())</f>
        <v>148.64686489480843</v>
      </c>
    </row>
    <row r="73" spans="2:5" hidden="1" outlineLevel="1" x14ac:dyDescent="0.45">
      <c r="B73" s="63">
        <v>0.25</v>
      </c>
      <c r="C73" s="63">
        <f t="shared" si="1"/>
        <v>0.75</v>
      </c>
      <c r="D73" s="64" cm="1">
        <f t="array" aca="1" ref="D73" ca="1">IF(ISNUMBER(_xll.VoseSimPercentile(Total,$B73)),_xll.VoseSimPercentile(Total,$B73),NA())</f>
        <v>149.678974012412</v>
      </c>
      <c r="E73" s="64" cm="1">
        <f t="array" aca="1" ref="E73" ca="1">IF(ISNUMBER(_xll.VoseSimPercentile(CLT,$B73)),_xll.VoseSimPercentile(CLT,$B73),NA())</f>
        <v>152.31564736565809</v>
      </c>
    </row>
    <row r="74" spans="2:5" hidden="1" outlineLevel="1" x14ac:dyDescent="0.45">
      <c r="B74" s="63">
        <v>0.27</v>
      </c>
      <c r="C74" s="63">
        <f t="shared" si="1"/>
        <v>0.73</v>
      </c>
      <c r="D74" s="64" cm="1">
        <f t="array" aca="1" ref="D74" ca="1">IF(ISNUMBER(_xll.VoseSimPercentile(Total,$B74)),_xll.VoseSimPercentile(Total,$B74),NA())</f>
        <v>152.50309763024075</v>
      </c>
      <c r="E74" s="64" cm="1">
        <f t="array" aca="1" ref="E74" ca="1">IF(ISNUMBER(_xll.VoseSimPercentile(CLT,$B74)),_xll.VoseSimPercentile(CLT,$B74),NA())</f>
        <v>155.8402312510581</v>
      </c>
    </row>
    <row r="75" spans="2:5" hidden="1" outlineLevel="1" x14ac:dyDescent="0.45">
      <c r="B75" s="63">
        <v>0.28999999999999998</v>
      </c>
      <c r="C75" s="63">
        <f t="shared" si="1"/>
        <v>0.71</v>
      </c>
      <c r="D75" s="64" cm="1">
        <f t="array" aca="1" ref="D75" ca="1">IF(ISNUMBER(_xll.VoseSimPercentile(Total,$B75)),_xll.VoseSimPercentile(Total,$B75),NA())</f>
        <v>155.72935928638123</v>
      </c>
      <c r="E75" s="64" cm="1">
        <f t="array" aca="1" ref="E75" ca="1">IF(ISNUMBER(_xll.VoseSimPercentile(CLT,$B75)),_xll.VoseSimPercentile(CLT,$B75),NA())</f>
        <v>159.01717230928148</v>
      </c>
    </row>
    <row r="76" spans="2:5" hidden="1" outlineLevel="1" x14ac:dyDescent="0.45">
      <c r="B76" s="63">
        <v>0.31</v>
      </c>
      <c r="C76" s="63">
        <f t="shared" si="1"/>
        <v>0.69</v>
      </c>
      <c r="D76" s="64" cm="1">
        <f t="array" aca="1" ref="D76" ca="1">IF(ISNUMBER(_xll.VoseSimPercentile(Total,$B76)),_xll.VoseSimPercentile(Total,$B76),NA())</f>
        <v>158.37068150260973</v>
      </c>
      <c r="E76" s="64" cm="1">
        <f t="array" aca="1" ref="E76" ca="1">IF(ISNUMBER(_xll.VoseSimPercentile(CLT,$B76)),_xll.VoseSimPercentile(CLT,$B76),NA())</f>
        <v>161.73863505173131</v>
      </c>
    </row>
    <row r="77" spans="2:5" hidden="1" outlineLevel="1" x14ac:dyDescent="0.45">
      <c r="B77" s="63">
        <v>0.33</v>
      </c>
      <c r="C77" s="63">
        <f t="shared" si="1"/>
        <v>0.66999999999999993</v>
      </c>
      <c r="D77" s="64" cm="1">
        <f t="array" aca="1" ref="D77" ca="1">IF(ISNUMBER(_xll.VoseSimPercentile(Total,$B77)),_xll.VoseSimPercentile(Total,$B77),NA())</f>
        <v>160.89807198561519</v>
      </c>
      <c r="E77" s="64" cm="1">
        <f t="array" aca="1" ref="E77" ca="1">IF(ISNUMBER(_xll.VoseSimPercentile(CLT,$B77)),_xll.VoseSimPercentile(CLT,$B77),NA())</f>
        <v>164.7470679588013</v>
      </c>
    </row>
    <row r="78" spans="2:5" hidden="1" outlineLevel="1" x14ac:dyDescent="0.45">
      <c r="B78" s="63">
        <v>0.35</v>
      </c>
      <c r="C78" s="63">
        <f t="shared" si="1"/>
        <v>0.65</v>
      </c>
      <c r="D78" s="64" cm="1">
        <f t="array" aca="1" ref="D78" ca="1">IF(ISNUMBER(_xll.VoseSimPercentile(Total,$B78)),_xll.VoseSimPercentile(Total,$B78),NA())</f>
        <v>163.56191461960984</v>
      </c>
      <c r="E78" s="64" cm="1">
        <f t="array" aca="1" ref="E78" ca="1">IF(ISNUMBER(_xll.VoseSimPercentile(CLT,$B78)),_xll.VoseSimPercentile(CLT,$B78),NA())</f>
        <v>167.75540132147779</v>
      </c>
    </row>
    <row r="79" spans="2:5" hidden="1" outlineLevel="1" x14ac:dyDescent="0.45">
      <c r="B79" s="63">
        <v>0.37</v>
      </c>
      <c r="C79" s="63">
        <f t="shared" si="1"/>
        <v>0.63</v>
      </c>
      <c r="D79" s="64" cm="1">
        <f t="array" aca="1" ref="D79" ca="1">IF(ISNUMBER(_xll.VoseSimPercentile(Total,$B79)),_xll.VoseSimPercentile(Total,$B79),NA())</f>
        <v>166.21426352404069</v>
      </c>
      <c r="E79" s="64" cm="1">
        <f t="array" aca="1" ref="E79" ca="1">IF(ISNUMBER(_xll.VoseSimPercentile(CLT,$B79)),_xll.VoseSimPercentile(CLT,$B79),NA())</f>
        <v>170.38815153177333</v>
      </c>
    </row>
    <row r="80" spans="2:5" hidden="1" outlineLevel="1" x14ac:dyDescent="0.45">
      <c r="B80" s="63">
        <v>0.39</v>
      </c>
      <c r="C80" s="63">
        <f t="shared" si="1"/>
        <v>0.61</v>
      </c>
      <c r="D80" s="64" cm="1">
        <f t="array" aca="1" ref="D80" ca="1">IF(ISNUMBER(_xll.VoseSimPercentile(Total,$B80)),_xll.VoseSimPercentile(Total,$B80),NA())</f>
        <v>168.85771979022772</v>
      </c>
      <c r="E80" s="64" cm="1">
        <f t="array" aca="1" ref="E80" ca="1">IF(ISNUMBER(_xll.VoseSimPercentile(CLT,$B80)),_xll.VoseSimPercentile(CLT,$B80),NA())</f>
        <v>173.22257266333256</v>
      </c>
    </row>
    <row r="81" spans="2:5" hidden="1" outlineLevel="1" x14ac:dyDescent="0.45">
      <c r="B81" s="63">
        <v>0.41</v>
      </c>
      <c r="C81" s="63">
        <f t="shared" si="1"/>
        <v>0.59000000000000008</v>
      </c>
      <c r="D81" s="64" cm="1">
        <f t="array" aca="1" ref="D81" ca="1">IF(ISNUMBER(_xll.VoseSimPercentile(Total,$B81)),_xll.VoseSimPercentile(Total,$B81),NA())</f>
        <v>171.18988945610991</v>
      </c>
      <c r="E81" s="64" cm="1">
        <f t="array" aca="1" ref="E81" ca="1">IF(ISNUMBER(_xll.VoseSimPercentile(CLT,$B81)),_xll.VoseSimPercentile(CLT,$B81),NA())</f>
        <v>176.106135762181</v>
      </c>
    </row>
    <row r="82" spans="2:5" hidden="1" outlineLevel="1" x14ac:dyDescent="0.45">
      <c r="B82" s="63">
        <v>0.43</v>
      </c>
      <c r="C82" s="63">
        <f t="shared" si="1"/>
        <v>0.57000000000000006</v>
      </c>
      <c r="D82" s="64" cm="1">
        <f t="array" aca="1" ref="D82" ca="1">IF(ISNUMBER(_xll.VoseSimPercentile(Total,$B82)),_xll.VoseSimPercentile(Total,$B82),NA())</f>
        <v>173.59805918027513</v>
      </c>
      <c r="E82" s="64" cm="1">
        <f t="array" aca="1" ref="E82" ca="1">IF(ISNUMBER(_xll.VoseSimPercentile(CLT,$B82)),_xll.VoseSimPercentile(CLT,$B82),NA())</f>
        <v>178.83515745154591</v>
      </c>
    </row>
    <row r="83" spans="2:5" hidden="1" outlineLevel="1" x14ac:dyDescent="0.45">
      <c r="B83" s="63">
        <v>0.45</v>
      </c>
      <c r="C83" s="63">
        <f t="shared" si="1"/>
        <v>0.55000000000000004</v>
      </c>
      <c r="D83" s="64" cm="1">
        <f t="array" aca="1" ref="D83" ca="1">IF(ISNUMBER(_xll.VoseSimPercentile(Total,$B83)),_xll.VoseSimPercentile(Total,$B83),NA())</f>
        <v>176.00258210889004</v>
      </c>
      <c r="E83" s="64" cm="1">
        <f t="array" aca="1" ref="E83" ca="1">IF(ISNUMBER(_xll.VoseSimPercentile(CLT,$B83)),_xll.VoseSimPercentile(CLT,$B83),NA())</f>
        <v>181.43977600468222</v>
      </c>
    </row>
    <row r="84" spans="2:5" hidden="1" outlineLevel="1" x14ac:dyDescent="0.45">
      <c r="B84" s="63">
        <v>0.47</v>
      </c>
      <c r="C84" s="63">
        <f t="shared" si="1"/>
        <v>0.53</v>
      </c>
      <c r="D84" s="64" cm="1">
        <f t="array" aca="1" ref="D84" ca="1">IF(ISNUMBER(_xll.VoseSimPercentile(Total,$B84)),_xll.VoseSimPercentile(Total,$B84),NA())</f>
        <v>178.45470186475669</v>
      </c>
      <c r="E84" s="64" cm="1">
        <f t="array" aca="1" ref="E84" ca="1">IF(ISNUMBER(_xll.VoseSimPercentile(CLT,$B84)),_xll.VoseSimPercentile(CLT,$B84),NA())</f>
        <v>183.91754860446278</v>
      </c>
    </row>
    <row r="85" spans="2:5" hidden="1" outlineLevel="1" x14ac:dyDescent="0.45">
      <c r="B85" s="63">
        <v>0.49</v>
      </c>
      <c r="C85" s="63">
        <f t="shared" si="1"/>
        <v>0.51</v>
      </c>
      <c r="D85" s="64" cm="1">
        <f t="array" aca="1" ref="D85" ca="1">IF(ISNUMBER(_xll.VoseSimPercentile(Total,$B85)),_xll.VoseSimPercentile(Total,$B85),NA())</f>
        <v>181.12409829309689</v>
      </c>
      <c r="E85" s="64" cm="1">
        <f t="array" aca="1" ref="E85" ca="1">IF(ISNUMBER(_xll.VoseSimPercentile(CLT,$B85)),_xll.VoseSimPercentile(CLT,$B85),NA())</f>
        <v>186.34466118088787</v>
      </c>
    </row>
    <row r="86" spans="2:5" hidden="1" outlineLevel="1" x14ac:dyDescent="0.45">
      <c r="B86" s="63">
        <v>0.51</v>
      </c>
      <c r="C86" s="63">
        <f t="shared" si="1"/>
        <v>0.49</v>
      </c>
      <c r="D86" s="64" cm="1">
        <f t="array" aca="1" ref="D86" ca="1">IF(ISNUMBER(_xll.VoseSimPercentile(Total,$B86)),_xll.VoseSimPercentile(Total,$B86),NA())</f>
        <v>183.63505253670243</v>
      </c>
      <c r="E86" s="64" cm="1">
        <f t="array" aca="1" ref="E86" ca="1">IF(ISNUMBER(_xll.VoseSimPercentile(CLT,$B86)),_xll.VoseSimPercentile(CLT,$B86),NA())</f>
        <v>188.99484621749124</v>
      </c>
    </row>
    <row r="87" spans="2:5" hidden="1" outlineLevel="1" x14ac:dyDescent="0.45">
      <c r="B87" s="63">
        <v>0.53</v>
      </c>
      <c r="C87" s="63">
        <f t="shared" si="1"/>
        <v>0.47</v>
      </c>
      <c r="D87" s="64" cm="1">
        <f t="array" aca="1" ref="D87" ca="1">IF(ISNUMBER(_xll.VoseSimPercentile(Total,$B87)),_xll.VoseSimPercentile(Total,$B87),NA())</f>
        <v>186.44704976826245</v>
      </c>
      <c r="E87" s="64" cm="1">
        <f t="array" aca="1" ref="E87" ca="1">IF(ISNUMBER(_xll.VoseSimPercentile(CLT,$B87)),_xll.VoseSimPercentile(CLT,$B87),NA())</f>
        <v>191.51493920824885</v>
      </c>
    </row>
    <row r="88" spans="2:5" hidden="1" outlineLevel="1" x14ac:dyDescent="0.45">
      <c r="B88" s="63">
        <v>0.55000000000000004</v>
      </c>
      <c r="C88" s="63">
        <f t="shared" si="1"/>
        <v>0.44999999999999996</v>
      </c>
      <c r="D88" s="64" cm="1">
        <f t="array" aca="1" ref="D88" ca="1">IF(ISNUMBER(_xll.VoseSimPercentile(Total,$B88)),_xll.VoseSimPercentile(Total,$B88),NA())</f>
        <v>189.20646823171165</v>
      </c>
      <c r="E88" s="64" cm="1">
        <f t="array" aca="1" ref="E88" ca="1">IF(ISNUMBER(_xll.VoseSimPercentile(CLT,$B88)),_xll.VoseSimPercentile(CLT,$B88),NA())</f>
        <v>194.08318589695025</v>
      </c>
    </row>
    <row r="89" spans="2:5" hidden="1" outlineLevel="1" x14ac:dyDescent="0.45">
      <c r="B89" s="63">
        <v>0.56999999999999995</v>
      </c>
      <c r="C89" s="63">
        <f t="shared" si="1"/>
        <v>0.43000000000000005</v>
      </c>
      <c r="D89" s="64" cm="1">
        <f t="array" aca="1" ref="D89" ca="1">IF(ISNUMBER(_xll.VoseSimPercentile(Total,$B89)),_xll.VoseSimPercentile(Total,$B89),NA())</f>
        <v>191.72811968809833</v>
      </c>
      <c r="E89" s="64" cm="1">
        <f t="array" aca="1" ref="E89" ca="1">IF(ISNUMBER(_xll.VoseSimPercentile(CLT,$B89)),_xll.VoseSimPercentile(CLT,$B89),NA())</f>
        <v>197.07998523495763</v>
      </c>
    </row>
    <row r="90" spans="2:5" hidden="1" outlineLevel="1" x14ac:dyDescent="0.45">
      <c r="B90" s="63">
        <v>0.59</v>
      </c>
      <c r="C90" s="63">
        <f t="shared" si="1"/>
        <v>0.41000000000000003</v>
      </c>
      <c r="D90" s="64" cm="1">
        <f t="array" aca="1" ref="D90" ca="1">IF(ISNUMBER(_xll.VoseSimPercentile(Total,$B90)),_xll.VoseSimPercentile(Total,$B90),NA())</f>
        <v>194.5332373517854</v>
      </c>
      <c r="E90" s="64" cm="1">
        <f t="array" aca="1" ref="E90" ca="1">IF(ISNUMBER(_xll.VoseSimPercentile(CLT,$B90)),_xll.VoseSimPercentile(CLT,$B90),NA())</f>
        <v>199.69619219452267</v>
      </c>
    </row>
    <row r="91" spans="2:5" hidden="1" outlineLevel="1" x14ac:dyDescent="0.45">
      <c r="B91" s="63">
        <v>0.61</v>
      </c>
      <c r="C91" s="63">
        <f t="shared" si="1"/>
        <v>0.39</v>
      </c>
      <c r="D91" s="64" cm="1">
        <f t="array" aca="1" ref="D91" ca="1">IF(ISNUMBER(_xll.VoseSimPercentile(Total,$B91)),_xll.VoseSimPercentile(Total,$B91),NA())</f>
        <v>197.69625415964427</v>
      </c>
      <c r="E91" s="64" cm="1">
        <f t="array" aca="1" ref="E91" ca="1">IF(ISNUMBER(_xll.VoseSimPercentile(CLT,$B91)),_xll.VoseSimPercentile(CLT,$B91),NA())</f>
        <v>202.48432584835246</v>
      </c>
    </row>
    <row r="92" spans="2:5" hidden="1" outlineLevel="1" x14ac:dyDescent="0.45">
      <c r="B92" s="63">
        <v>0.63</v>
      </c>
      <c r="C92" s="63">
        <f t="shared" si="1"/>
        <v>0.37</v>
      </c>
      <c r="D92" s="64" cm="1">
        <f t="array" aca="1" ref="D92" ca="1">IF(ISNUMBER(_xll.VoseSimPercentile(Total,$B92)),_xll.VoseSimPercentile(Total,$B92),NA())</f>
        <v>200.29057118872765</v>
      </c>
      <c r="E92" s="64" cm="1">
        <f t="array" aca="1" ref="E92" ca="1">IF(ISNUMBER(_xll.VoseSimPercentile(CLT,$B92)),_xll.VoseSimPercentile(CLT,$B92),NA())</f>
        <v>205.19276243301846</v>
      </c>
    </row>
    <row r="93" spans="2:5" hidden="1" outlineLevel="1" x14ac:dyDescent="0.45">
      <c r="B93" s="63">
        <v>0.65</v>
      </c>
      <c r="C93" s="63">
        <f t="shared" ref="C93:C124" si="2">1-B93</f>
        <v>0.35</v>
      </c>
      <c r="D93" s="64" cm="1">
        <f t="array" aca="1" ref="D93" ca="1">IF(ISNUMBER(_xll.VoseSimPercentile(Total,$B93)),_xll.VoseSimPercentile(Total,$B93),NA())</f>
        <v>203.22403365967671</v>
      </c>
      <c r="E93" s="64" cm="1">
        <f t="array" aca="1" ref="E93" ca="1">IF(ISNUMBER(_xll.VoseSimPercentile(CLT,$B93)),_xll.VoseSimPercentile(CLT,$B93),NA())</f>
        <v>207.98928161806737</v>
      </c>
    </row>
    <row r="94" spans="2:5" hidden="1" outlineLevel="1" x14ac:dyDescent="0.45">
      <c r="B94" s="63">
        <v>0.67</v>
      </c>
      <c r="C94" s="63">
        <f t="shared" si="2"/>
        <v>0.32999999999999996</v>
      </c>
      <c r="D94" s="64" cm="1">
        <f t="array" aca="1" ref="D94" ca="1">IF(ISNUMBER(_xll.VoseSimPercentile(Total,$B94)),_xll.VoseSimPercentile(Total,$B94),NA())</f>
        <v>206.60747644153375</v>
      </c>
      <c r="E94" s="64" cm="1">
        <f t="array" aca="1" ref="E94" ca="1">IF(ISNUMBER(_xll.VoseSimPercentile(CLT,$B94)),_xll.VoseSimPercentile(CLT,$B94),NA())</f>
        <v>210.89434144754063</v>
      </c>
    </row>
    <row r="95" spans="2:5" hidden="1" outlineLevel="1" x14ac:dyDescent="0.45">
      <c r="B95" s="63">
        <v>0.69</v>
      </c>
      <c r="C95" s="63">
        <f t="shared" si="2"/>
        <v>0.31000000000000005</v>
      </c>
      <c r="D95" s="64" cm="1">
        <f t="array" aca="1" ref="D95" ca="1">IF(ISNUMBER(_xll.VoseSimPercentile(Total,$B95)),_xll.VoseSimPercentile(Total,$B95),NA())</f>
        <v>209.90585331262878</v>
      </c>
      <c r="E95" s="64" cm="1">
        <f t="array" aca="1" ref="E95" ca="1">IF(ISNUMBER(_xll.VoseSimPercentile(CLT,$B95)),_xll.VoseSimPercentile(CLT,$B95),NA())</f>
        <v>214.3593923508235</v>
      </c>
    </row>
    <row r="96" spans="2:5" hidden="1" outlineLevel="1" x14ac:dyDescent="0.45">
      <c r="B96" s="63">
        <v>0.71</v>
      </c>
      <c r="C96" s="63">
        <f t="shared" si="2"/>
        <v>0.29000000000000004</v>
      </c>
      <c r="D96" s="64" cm="1">
        <f t="array" aca="1" ref="D96" ca="1">IF(ISNUMBER(_xll.VoseSimPercentile(Total,$B96)),_xll.VoseSimPercentile(Total,$B96),NA())</f>
        <v>212.89772651746964</v>
      </c>
      <c r="E96" s="64" cm="1">
        <f t="array" aca="1" ref="E96" ca="1">IF(ISNUMBER(_xll.VoseSimPercentile(CLT,$B96)),_xll.VoseSimPercentile(CLT,$B96),NA())</f>
        <v>217.48371863756802</v>
      </c>
    </row>
    <row r="97" spans="2:5" hidden="1" outlineLevel="1" x14ac:dyDescent="0.45">
      <c r="B97" s="63">
        <v>0.73</v>
      </c>
      <c r="C97" s="63">
        <f t="shared" si="2"/>
        <v>0.27</v>
      </c>
      <c r="D97" s="64" cm="1">
        <f t="array" aca="1" ref="D97" ca="1">IF(ISNUMBER(_xll.VoseSimPercentile(Total,$B97)),_xll.VoseSimPercentile(Total,$B97),NA())</f>
        <v>216.50669209654143</v>
      </c>
      <c r="E97" s="64" cm="1">
        <f t="array" aca="1" ref="E97" ca="1">IF(ISNUMBER(_xll.VoseSimPercentile(CLT,$B97)),_xll.VoseSimPercentile(CLT,$B97),NA())</f>
        <v>220.91356228057367</v>
      </c>
    </row>
    <row r="98" spans="2:5" hidden="1" outlineLevel="1" x14ac:dyDescent="0.45">
      <c r="B98" s="63">
        <v>0.75</v>
      </c>
      <c r="C98" s="63">
        <f t="shared" si="2"/>
        <v>0.25</v>
      </c>
      <c r="D98" s="64" cm="1">
        <f t="array" aca="1" ref="D98" ca="1">IF(ISNUMBER(_xll.VoseSimPercentile(Total,$B98)),_xll.VoseSimPercentile(Total,$B98),NA())</f>
        <v>220.03552274010394</v>
      </c>
      <c r="E98" s="64" cm="1">
        <f t="array" aca="1" ref="E98" ca="1">IF(ISNUMBER(_xll.VoseSimPercentile(CLT,$B98)),_xll.VoseSimPercentile(CLT,$B98),NA())</f>
        <v>224.27324409621914</v>
      </c>
    </row>
    <row r="99" spans="2:5" hidden="1" outlineLevel="1" x14ac:dyDescent="0.45">
      <c r="B99" s="63">
        <v>0.77</v>
      </c>
      <c r="C99" s="63">
        <f t="shared" si="2"/>
        <v>0.22999999999999998</v>
      </c>
      <c r="D99" s="64" cm="1">
        <f t="array" aca="1" ref="D99" ca="1">IF(ISNUMBER(_xll.VoseSimPercentile(Total,$B99)),_xll.VoseSimPercentile(Total,$B99),NA())</f>
        <v>224.07695775203021</v>
      </c>
      <c r="E99" s="64" cm="1">
        <f t="array" aca="1" ref="E99" ca="1">IF(ISNUMBER(_xll.VoseSimPercentile(CLT,$B99)),_xll.VoseSimPercentile(CLT,$B99),NA())</f>
        <v>227.96753880760718</v>
      </c>
    </row>
    <row r="100" spans="2:5" hidden="1" outlineLevel="1" x14ac:dyDescent="0.45">
      <c r="B100" s="63">
        <v>0.79</v>
      </c>
      <c r="C100" s="63">
        <f t="shared" si="2"/>
        <v>0.20999999999999996</v>
      </c>
      <c r="D100" s="64" cm="1">
        <f t="array" aca="1" ref="D100" ca="1">IF(ISNUMBER(_xll.VoseSimPercentile(Total,$B100)),_xll.VoseSimPercentile(Total,$B100),NA())</f>
        <v>228.15442606573598</v>
      </c>
      <c r="E100" s="64" cm="1">
        <f t="array" aca="1" ref="E100" ca="1">IF(ISNUMBER(_xll.VoseSimPercentile(CLT,$B100)),_xll.VoseSimPercentile(CLT,$B100),NA())</f>
        <v>231.483700745276</v>
      </c>
    </row>
    <row r="101" spans="2:5" hidden="1" outlineLevel="1" x14ac:dyDescent="0.45">
      <c r="B101" s="63">
        <v>0.81</v>
      </c>
      <c r="C101" s="63">
        <f t="shared" si="2"/>
        <v>0.18999999999999995</v>
      </c>
      <c r="D101" s="64" cm="1">
        <f t="array" aca="1" ref="D101" ca="1">IF(ISNUMBER(_xll.VoseSimPercentile(Total,$B101)),_xll.VoseSimPercentile(Total,$B101),NA())</f>
        <v>232.6586516978696</v>
      </c>
      <c r="E101" s="64" cm="1">
        <f t="array" aca="1" ref="E101" ca="1">IF(ISNUMBER(_xll.VoseSimPercentile(CLT,$B101)),_xll.VoseSimPercentile(CLT,$B101),NA())</f>
        <v>235.02950549635136</v>
      </c>
    </row>
    <row r="102" spans="2:5" hidden="1" outlineLevel="1" x14ac:dyDescent="0.45">
      <c r="B102" s="63">
        <v>0.83</v>
      </c>
      <c r="C102" s="63">
        <f t="shared" si="2"/>
        <v>0.17000000000000004</v>
      </c>
      <c r="D102" s="64" cm="1">
        <f t="array" aca="1" ref="D102" ca="1">IF(ISNUMBER(_xll.VoseSimPercentile(Total,$B102)),_xll.VoseSimPercentile(Total,$B102),NA())</f>
        <v>237.02793339880768</v>
      </c>
      <c r="E102" s="64" cm="1">
        <f t="array" aca="1" ref="E102" ca="1">IF(ISNUMBER(_xll.VoseSimPercentile(CLT,$B102)),_xll.VoseSimPercentile(CLT,$B102),NA())</f>
        <v>238.88547176005076</v>
      </c>
    </row>
    <row r="103" spans="2:5" hidden="1" outlineLevel="1" x14ac:dyDescent="0.45">
      <c r="B103" s="63">
        <v>0.85</v>
      </c>
      <c r="C103" s="63">
        <f t="shared" si="2"/>
        <v>0.15000000000000002</v>
      </c>
      <c r="D103" s="64" cm="1">
        <f t="array" aca="1" ref="D103" ca="1">IF(ISNUMBER(_xll.VoseSimPercentile(Total,$B103)),_xll.VoseSimPercentile(Total,$B103),NA())</f>
        <v>241.87129896682697</v>
      </c>
      <c r="E103" s="64" cm="1">
        <f t="array" aca="1" ref="E103" ca="1">IF(ISNUMBER(_xll.VoseSimPercentile(CLT,$B103)),_xll.VoseSimPercentile(CLT,$B103),NA())</f>
        <v>243.06086064435416</v>
      </c>
    </row>
    <row r="104" spans="2:5" hidden="1" outlineLevel="1" x14ac:dyDescent="0.45">
      <c r="B104" s="63">
        <v>0.87</v>
      </c>
      <c r="C104" s="63">
        <f t="shared" si="2"/>
        <v>0.13</v>
      </c>
      <c r="D104" s="64" cm="1">
        <f t="array" aca="1" ref="D104" ca="1">IF(ISNUMBER(_xll.VoseSimPercentile(Total,$B104)),_xll.VoseSimPercentile(Total,$B104),NA())</f>
        <v>247.60467917624311</v>
      </c>
      <c r="E104" s="64" cm="1">
        <f t="array" aca="1" ref="E104" ca="1">IF(ISNUMBER(_xll.VoseSimPercentile(CLT,$B104)),_xll.VoseSimPercentile(CLT,$B104),NA())</f>
        <v>248.30577350778799</v>
      </c>
    </row>
    <row r="105" spans="2:5" hidden="1" outlineLevel="1" x14ac:dyDescent="0.45">
      <c r="B105" s="63">
        <v>0.89</v>
      </c>
      <c r="C105" s="63">
        <f t="shared" si="2"/>
        <v>0.10999999999999999</v>
      </c>
      <c r="D105" s="64" cm="1">
        <f t="array" aca="1" ref="D105" ca="1">IF(ISNUMBER(_xll.VoseSimPercentile(Total,$B105)),_xll.VoseSimPercentile(Total,$B105),NA())</f>
        <v>253.83998819245284</v>
      </c>
      <c r="E105" s="64" cm="1">
        <f t="array" aca="1" ref="E105" ca="1">IF(ISNUMBER(_xll.VoseSimPercentile(CLT,$B105)),_xll.VoseSimPercentile(CLT,$B105),NA())</f>
        <v>254.3651760688052</v>
      </c>
    </row>
    <row r="106" spans="2:5" hidden="1" outlineLevel="1" x14ac:dyDescent="0.45">
      <c r="B106" s="63">
        <v>0.91</v>
      </c>
      <c r="C106" s="63">
        <f t="shared" si="2"/>
        <v>8.9999999999999969E-2</v>
      </c>
      <c r="D106" s="64" cm="1">
        <f t="array" aca="1" ref="D106" ca="1">IF(ISNUMBER(_xll.VoseSimPercentile(Total,$B106)),_xll.VoseSimPercentile(Total,$B106),NA())</f>
        <v>260.76013555254457</v>
      </c>
      <c r="E106" s="64" cm="1">
        <f t="array" aca="1" ref="E106" ca="1">IF(ISNUMBER(_xll.VoseSimPercentile(CLT,$B106)),_xll.VoseSimPercentile(CLT,$B106),NA())</f>
        <v>260.69608505672977</v>
      </c>
    </row>
    <row r="107" spans="2:5" hidden="1" outlineLevel="1" x14ac:dyDescent="0.45">
      <c r="B107" s="63">
        <v>0.93</v>
      </c>
      <c r="C107" s="63">
        <f t="shared" si="2"/>
        <v>6.9999999999999951E-2</v>
      </c>
      <c r="D107" s="64" cm="1">
        <f t="array" aca="1" ref="D107" ca="1">IF(ISNUMBER(_xll.VoseSimPercentile(Total,$B107)),_xll.VoseSimPercentile(Total,$B107),NA())</f>
        <v>269.92096370924537</v>
      </c>
      <c r="E107" s="64" cm="1">
        <f t="array" aca="1" ref="E107" ca="1">IF(ISNUMBER(_xll.VoseSimPercentile(CLT,$B107)),_xll.VoseSimPercentile(CLT,$B107),NA())</f>
        <v>268.18354029913235</v>
      </c>
    </row>
    <row r="108" spans="2:5" hidden="1" outlineLevel="1" x14ac:dyDescent="0.45">
      <c r="B108" s="63">
        <v>0.95</v>
      </c>
      <c r="C108" s="63">
        <f t="shared" si="2"/>
        <v>5.0000000000000044E-2</v>
      </c>
      <c r="D108" s="64" cm="1">
        <f t="array" aca="1" ref="D108" ca="1">IF(ISNUMBER(_xll.VoseSimPercentile(Total,$B108)),_xll.VoseSimPercentile(Total,$B108),NA())</f>
        <v>280.36143622083495</v>
      </c>
      <c r="E108" s="64" cm="1">
        <f t="array" aca="1" ref="E108" ca="1">IF(ISNUMBER(_xll.VoseSimPercentile(CLT,$B108)),_xll.VoseSimPercentile(CLT,$B108),NA())</f>
        <v>276.13654307309776</v>
      </c>
    </row>
    <row r="109" spans="2:5" hidden="1" outlineLevel="1" x14ac:dyDescent="0.45">
      <c r="B109" s="63">
        <v>0.97</v>
      </c>
      <c r="C109" s="63">
        <f t="shared" si="2"/>
        <v>3.0000000000000027E-2</v>
      </c>
      <c r="D109" s="64" cm="1">
        <f t="array" aca="1" ref="D109" ca="1">IF(ISNUMBER(_xll.VoseSimPercentile(Total,$B109)),_xll.VoseSimPercentile(Total,$B109),NA())</f>
        <v>294.48555316547578</v>
      </c>
      <c r="E109" s="64" cm="1">
        <f t="array" aca="1" ref="E109" ca="1">IF(ISNUMBER(_xll.VoseSimPercentile(CLT,$B109)),_xll.VoseSimPercentile(CLT,$B109),NA())</f>
        <v>288.7465353041747</v>
      </c>
    </row>
    <row r="110" spans="2:5" hidden="1" outlineLevel="1" x14ac:dyDescent="0.45">
      <c r="B110" s="63">
        <v>0.99</v>
      </c>
      <c r="C110" s="63">
        <f t="shared" si="2"/>
        <v>1.0000000000000009E-2</v>
      </c>
      <c r="D110" s="64" cm="1">
        <f t="array" aca="1" ref="D110" ca="1">IF(ISNUMBER(_xll.VoseSimPercentile(Total,$B110)),_xll.VoseSimPercentile(Total,$B110),NA())</f>
        <v>326.25421740039553</v>
      </c>
      <c r="E110" s="64" cm="1">
        <f t="array" aca="1" ref="E110" ca="1">IF(ISNUMBER(_xll.VoseSimPercentile(CLT,$B110)),_xll.VoseSimPercentile(CLT,$B110),NA())</f>
        <v>315.26559953184471</v>
      </c>
    </row>
  </sheetData>
  <mergeCells count="4">
    <mergeCell ref="B52:G52"/>
    <mergeCell ref="B53:G53"/>
    <mergeCell ref="B54:G54"/>
    <mergeCell ref="B55:G55"/>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61:E110">
    <cfRule type="expression" dxfId="0" priority="3">
      <formula>ISNA(D61)</formula>
    </cfRule>
  </conditionalFormatting>
  <hyperlinks>
    <hyperlink ref="B4" location="'Risks'!A1" display="◂  Risk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5CC2-4B28-424D-B8BD-D533C09C9021}">
  <dimension ref="A1:B1"/>
  <sheetViews>
    <sheetView workbookViewId="0"/>
  </sheetViews>
  <sheetFormatPr defaultRowHeight="14.25" x14ac:dyDescent="0.45"/>
  <sheetData>
    <row r="1" spans="1:2" x14ac:dyDescent="0.45">
      <c r="A1" s="69" t="s">
        <v>198</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8481B-D834-4DBD-8A60-DC1BA3E3AFE9}">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AE580-1607-4BCF-B90B-59C7201FA207}">
  <dimension ref="B3:B1342"/>
  <sheetViews>
    <sheetView workbookViewId="0"/>
  </sheetViews>
  <sheetFormatPr defaultRowHeight="14.25" x14ac:dyDescent="0.45"/>
  <sheetData>
    <row r="3" spans="2:2" x14ac:dyDescent="0.45">
      <c r="B3">
        <v>1904</v>
      </c>
    </row>
    <row r="4" spans="2:2" x14ac:dyDescent="0.45">
      <c r="B4">
        <v>3</v>
      </c>
    </row>
    <row r="5" spans="2:2" x14ac:dyDescent="0.45">
      <c r="B5">
        <v>23</v>
      </c>
    </row>
    <row r="6" spans="2:2" x14ac:dyDescent="0.45">
      <c r="B6">
        <v>27</v>
      </c>
    </row>
    <row r="7" spans="2:2" x14ac:dyDescent="0.45">
      <c r="B7">
        <v>18</v>
      </c>
    </row>
    <row r="8" spans="2:2" x14ac:dyDescent="0.45">
      <c r="B8">
        <v>7</v>
      </c>
    </row>
    <row r="9" spans="2:2" x14ac:dyDescent="0.45">
      <c r="B9">
        <v>9</v>
      </c>
    </row>
    <row r="10" spans="2:2" x14ac:dyDescent="0.45">
      <c r="B10">
        <v>5</v>
      </c>
    </row>
    <row r="11" spans="2:2" x14ac:dyDescent="0.45">
      <c r="B11">
        <v>1</v>
      </c>
    </row>
    <row r="12" spans="2:2" x14ac:dyDescent="0.45">
      <c r="B12">
        <v>3</v>
      </c>
    </row>
    <row r="13" spans="2:2" x14ac:dyDescent="0.45">
      <c r="B13">
        <v>1981</v>
      </c>
    </row>
    <row r="14" spans="2:2" x14ac:dyDescent="0.45">
      <c r="B14">
        <v>0</v>
      </c>
    </row>
    <row r="15" spans="2:2" x14ac:dyDescent="0.45">
      <c r="B15">
        <v>0</v>
      </c>
    </row>
    <row r="16" spans="2:2" x14ac:dyDescent="0.45">
      <c r="B16">
        <v>1</v>
      </c>
    </row>
    <row r="17" spans="2:2" x14ac:dyDescent="0.45">
      <c r="B17">
        <v>2</v>
      </c>
    </row>
    <row r="18" spans="2:2" x14ac:dyDescent="0.45">
      <c r="B18">
        <v>6</v>
      </c>
    </row>
    <row r="19" spans="2:2" x14ac:dyDescent="0.45">
      <c r="B19">
        <v>3</v>
      </c>
    </row>
    <row r="20" spans="2:2" x14ac:dyDescent="0.45">
      <c r="B20">
        <v>2</v>
      </c>
    </row>
    <row r="21" spans="2:2" x14ac:dyDescent="0.45">
      <c r="B21">
        <v>3</v>
      </c>
    </row>
    <row r="22" spans="2:2" x14ac:dyDescent="0.45">
      <c r="B22">
        <v>2</v>
      </c>
    </row>
    <row r="23" spans="2:2" x14ac:dyDescent="0.45">
      <c r="B23">
        <v>1975</v>
      </c>
    </row>
    <row r="24" spans="2:2" x14ac:dyDescent="0.45">
      <c r="B24">
        <v>0</v>
      </c>
    </row>
    <row r="25" spans="2:2" x14ac:dyDescent="0.45">
      <c r="B25">
        <v>1</v>
      </c>
    </row>
    <row r="26" spans="2:2" x14ac:dyDescent="0.45">
      <c r="B26">
        <v>3</v>
      </c>
    </row>
    <row r="27" spans="2:2" x14ac:dyDescent="0.45">
      <c r="B27">
        <v>2</v>
      </c>
    </row>
    <row r="28" spans="2:2" x14ac:dyDescent="0.45">
      <c r="B28">
        <v>5</v>
      </c>
    </row>
    <row r="29" spans="2:2" x14ac:dyDescent="0.45">
      <c r="B29">
        <v>6</v>
      </c>
    </row>
    <row r="30" spans="2:2" x14ac:dyDescent="0.45">
      <c r="B30">
        <v>3</v>
      </c>
    </row>
    <row r="31" spans="2:2" x14ac:dyDescent="0.45">
      <c r="B31">
        <v>3</v>
      </c>
    </row>
    <row r="32" spans="2:2" x14ac:dyDescent="0.45">
      <c r="B32">
        <v>2</v>
      </c>
    </row>
    <row r="33" spans="2:2" x14ac:dyDescent="0.45">
      <c r="B33">
        <v>1384</v>
      </c>
    </row>
    <row r="34" spans="2:2" x14ac:dyDescent="0.45">
      <c r="B34">
        <v>89</v>
      </c>
    </row>
    <row r="35" spans="2:2" x14ac:dyDescent="0.45">
      <c r="B35">
        <v>145</v>
      </c>
    </row>
    <row r="36" spans="2:2" x14ac:dyDescent="0.45">
      <c r="B36">
        <v>127</v>
      </c>
    </row>
    <row r="37" spans="2:2" x14ac:dyDescent="0.45">
      <c r="B37">
        <v>106</v>
      </c>
    </row>
    <row r="38" spans="2:2" x14ac:dyDescent="0.45">
      <c r="B38">
        <v>78</v>
      </c>
    </row>
    <row r="39" spans="2:2" x14ac:dyDescent="0.45">
      <c r="B39">
        <v>46</v>
      </c>
    </row>
    <row r="40" spans="2:2" x14ac:dyDescent="0.45">
      <c r="B40">
        <v>15</v>
      </c>
    </row>
    <row r="41" spans="2:2" x14ac:dyDescent="0.45">
      <c r="B41">
        <v>6</v>
      </c>
    </row>
    <row r="42" spans="2:2" x14ac:dyDescent="0.45">
      <c r="B42">
        <v>4</v>
      </c>
    </row>
    <row r="43" spans="2:2" x14ac:dyDescent="0.45">
      <c r="B43">
        <v>1023</v>
      </c>
    </row>
    <row r="44" spans="2:2" x14ac:dyDescent="0.45">
      <c r="B44">
        <v>0</v>
      </c>
    </row>
    <row r="45" spans="2:2" x14ac:dyDescent="0.45">
      <c r="B45">
        <v>0</v>
      </c>
    </row>
    <row r="46" spans="2:2" x14ac:dyDescent="0.45">
      <c r="B46">
        <v>3</v>
      </c>
    </row>
    <row r="47" spans="2:2" x14ac:dyDescent="0.45">
      <c r="B47">
        <v>90</v>
      </c>
    </row>
    <row r="48" spans="2:2" x14ac:dyDescent="0.45">
      <c r="B48">
        <v>252</v>
      </c>
    </row>
    <row r="49" spans="2:2" x14ac:dyDescent="0.45">
      <c r="B49">
        <v>271</v>
      </c>
    </row>
    <row r="50" spans="2:2" x14ac:dyDescent="0.45">
      <c r="B50">
        <v>216</v>
      </c>
    </row>
    <row r="51" spans="2:2" x14ac:dyDescent="0.45">
      <c r="B51">
        <v>121</v>
      </c>
    </row>
    <row r="52" spans="2:2" x14ac:dyDescent="0.45">
      <c r="B52">
        <v>24</v>
      </c>
    </row>
    <row r="53" spans="2:2" x14ac:dyDescent="0.45">
      <c r="B53">
        <v>1568</v>
      </c>
    </row>
    <row r="54" spans="2:2" x14ac:dyDescent="0.45">
      <c r="B54">
        <v>0</v>
      </c>
    </row>
    <row r="55" spans="2:2" x14ac:dyDescent="0.45">
      <c r="B55">
        <v>0</v>
      </c>
    </row>
    <row r="56" spans="2:2" x14ac:dyDescent="0.45">
      <c r="B56">
        <v>0</v>
      </c>
    </row>
    <row r="57" spans="2:2" x14ac:dyDescent="0.45">
      <c r="B57">
        <v>0</v>
      </c>
    </row>
    <row r="58" spans="2:2" x14ac:dyDescent="0.45">
      <c r="B58">
        <v>50</v>
      </c>
    </row>
    <row r="59" spans="2:2" x14ac:dyDescent="0.45">
      <c r="B59">
        <v>141</v>
      </c>
    </row>
    <row r="60" spans="2:2" x14ac:dyDescent="0.45">
      <c r="B60">
        <v>124</v>
      </c>
    </row>
    <row r="61" spans="2:2" x14ac:dyDescent="0.45">
      <c r="B61">
        <v>95</v>
      </c>
    </row>
    <row r="62" spans="2:2" x14ac:dyDescent="0.45">
      <c r="B62">
        <v>22</v>
      </c>
    </row>
    <row r="63" spans="2:2" x14ac:dyDescent="0.45">
      <c r="B63">
        <v>1798</v>
      </c>
    </row>
    <row r="64" spans="2:2" x14ac:dyDescent="0.45">
      <c r="B64">
        <v>11</v>
      </c>
    </row>
    <row r="65" spans="2:2" x14ac:dyDescent="0.45">
      <c r="B65">
        <v>33</v>
      </c>
    </row>
    <row r="66" spans="2:2" x14ac:dyDescent="0.45">
      <c r="B66">
        <v>37</v>
      </c>
    </row>
    <row r="67" spans="2:2" x14ac:dyDescent="0.45">
      <c r="B67">
        <v>31</v>
      </c>
    </row>
    <row r="68" spans="2:2" x14ac:dyDescent="0.45">
      <c r="B68">
        <v>28</v>
      </c>
    </row>
    <row r="69" spans="2:2" x14ac:dyDescent="0.45">
      <c r="B69">
        <v>28</v>
      </c>
    </row>
    <row r="70" spans="2:2" x14ac:dyDescent="0.45">
      <c r="B70">
        <v>18</v>
      </c>
    </row>
    <row r="71" spans="2:2" x14ac:dyDescent="0.45">
      <c r="B71">
        <v>10</v>
      </c>
    </row>
    <row r="72" spans="2:2" x14ac:dyDescent="0.45">
      <c r="B72">
        <v>6</v>
      </c>
    </row>
    <row r="73" spans="2:2" x14ac:dyDescent="0.45">
      <c r="B73">
        <v>1916</v>
      </c>
    </row>
    <row r="74" spans="2:2" x14ac:dyDescent="0.45">
      <c r="B74">
        <v>24</v>
      </c>
    </row>
    <row r="75" spans="2:2" x14ac:dyDescent="0.45">
      <c r="B75">
        <v>16</v>
      </c>
    </row>
    <row r="76" spans="2:2" x14ac:dyDescent="0.45">
      <c r="B76">
        <v>19</v>
      </c>
    </row>
    <row r="77" spans="2:2" x14ac:dyDescent="0.45">
      <c r="B77">
        <v>9</v>
      </c>
    </row>
    <row r="78" spans="2:2" x14ac:dyDescent="0.45">
      <c r="B78">
        <v>7</v>
      </c>
    </row>
    <row r="79" spans="2:2" x14ac:dyDescent="0.45">
      <c r="B79">
        <v>3</v>
      </c>
    </row>
    <row r="80" spans="2:2" x14ac:dyDescent="0.45">
      <c r="B80">
        <v>1</v>
      </c>
    </row>
    <row r="81" spans="2:2" x14ac:dyDescent="0.45">
      <c r="B81">
        <v>2</v>
      </c>
    </row>
    <row r="82" spans="2:2" x14ac:dyDescent="0.45">
      <c r="B82">
        <v>3</v>
      </c>
    </row>
    <row r="83" spans="2:2" x14ac:dyDescent="0.45">
      <c r="B83">
        <v>1801</v>
      </c>
    </row>
    <row r="84" spans="2:2" x14ac:dyDescent="0.45">
      <c r="B84">
        <v>27</v>
      </c>
    </row>
    <row r="85" spans="2:2" x14ac:dyDescent="0.45">
      <c r="B85">
        <v>53</v>
      </c>
    </row>
    <row r="86" spans="2:2" x14ac:dyDescent="0.45">
      <c r="B86">
        <v>34</v>
      </c>
    </row>
    <row r="87" spans="2:2" x14ac:dyDescent="0.45">
      <c r="B87">
        <v>27</v>
      </c>
    </row>
    <row r="88" spans="2:2" x14ac:dyDescent="0.45">
      <c r="B88">
        <v>24</v>
      </c>
    </row>
    <row r="89" spans="2:2" x14ac:dyDescent="0.45">
      <c r="B89">
        <v>22</v>
      </c>
    </row>
    <row r="90" spans="2:2" x14ac:dyDescent="0.45">
      <c r="B90">
        <v>4</v>
      </c>
    </row>
    <row r="91" spans="2:2" x14ac:dyDescent="0.45">
      <c r="B91">
        <v>4</v>
      </c>
    </row>
    <row r="92" spans="2:2" x14ac:dyDescent="0.45">
      <c r="B92">
        <v>4</v>
      </c>
    </row>
    <row r="93" spans="2:2" x14ac:dyDescent="0.45">
      <c r="B93">
        <v>1987</v>
      </c>
    </row>
    <row r="94" spans="2:2" x14ac:dyDescent="0.45">
      <c r="B94">
        <v>1</v>
      </c>
    </row>
    <row r="95" spans="2:2" x14ac:dyDescent="0.45">
      <c r="B95">
        <v>4</v>
      </c>
    </row>
    <row r="96" spans="2:2" x14ac:dyDescent="0.45">
      <c r="B96">
        <v>3</v>
      </c>
    </row>
    <row r="97" spans="2:2" x14ac:dyDescent="0.45">
      <c r="B97">
        <v>2</v>
      </c>
    </row>
    <row r="98" spans="2:2" x14ac:dyDescent="0.45">
      <c r="B98">
        <v>1</v>
      </c>
    </row>
    <row r="99" spans="2:2" x14ac:dyDescent="0.45">
      <c r="B99">
        <v>0</v>
      </c>
    </row>
    <row r="100" spans="2:2" x14ac:dyDescent="0.45">
      <c r="B100">
        <v>0</v>
      </c>
    </row>
    <row r="101" spans="2:2" x14ac:dyDescent="0.45">
      <c r="B101">
        <v>1</v>
      </c>
    </row>
    <row r="102" spans="2:2" x14ac:dyDescent="0.45">
      <c r="B102">
        <v>1</v>
      </c>
    </row>
    <row r="103" spans="2:2" x14ac:dyDescent="0.45">
      <c r="B103">
        <v>1898</v>
      </c>
    </row>
    <row r="104" spans="2:2" x14ac:dyDescent="0.45">
      <c r="B104">
        <v>11</v>
      </c>
    </row>
    <row r="105" spans="2:2" x14ac:dyDescent="0.45">
      <c r="B105">
        <v>16</v>
      </c>
    </row>
    <row r="106" spans="2:2" x14ac:dyDescent="0.45">
      <c r="B106">
        <v>19</v>
      </c>
    </row>
    <row r="107" spans="2:2" x14ac:dyDescent="0.45">
      <c r="B107">
        <v>17</v>
      </c>
    </row>
    <row r="108" spans="2:2" x14ac:dyDescent="0.45">
      <c r="B108">
        <v>12</v>
      </c>
    </row>
    <row r="109" spans="2:2" x14ac:dyDescent="0.45">
      <c r="B109">
        <v>15</v>
      </c>
    </row>
    <row r="110" spans="2:2" x14ac:dyDescent="0.45">
      <c r="B110">
        <v>6</v>
      </c>
    </row>
    <row r="111" spans="2:2" x14ac:dyDescent="0.45">
      <c r="B111">
        <v>4</v>
      </c>
    </row>
    <row r="112" spans="2:2" x14ac:dyDescent="0.45">
      <c r="B112">
        <v>2</v>
      </c>
    </row>
    <row r="113" spans="2:2" x14ac:dyDescent="0.45">
      <c r="B113">
        <v>1899</v>
      </c>
    </row>
    <row r="114" spans="2:2" x14ac:dyDescent="0.45">
      <c r="B114">
        <v>10</v>
      </c>
    </row>
    <row r="115" spans="2:2" x14ac:dyDescent="0.45">
      <c r="B115">
        <v>14</v>
      </c>
    </row>
    <row r="116" spans="2:2" x14ac:dyDescent="0.45">
      <c r="B116">
        <v>25</v>
      </c>
    </row>
    <row r="117" spans="2:2" x14ac:dyDescent="0.45">
      <c r="B117">
        <v>15</v>
      </c>
    </row>
    <row r="118" spans="2:2" x14ac:dyDescent="0.45">
      <c r="B118">
        <v>18</v>
      </c>
    </row>
    <row r="119" spans="2:2" x14ac:dyDescent="0.45">
      <c r="B119">
        <v>7</v>
      </c>
    </row>
    <row r="120" spans="2:2" x14ac:dyDescent="0.45">
      <c r="B120">
        <v>4</v>
      </c>
    </row>
    <row r="121" spans="2:2" x14ac:dyDescent="0.45">
      <c r="B121">
        <v>4</v>
      </c>
    </row>
    <row r="122" spans="2:2" x14ac:dyDescent="0.45">
      <c r="B122">
        <v>4</v>
      </c>
    </row>
    <row r="123" spans="2:2" x14ac:dyDescent="0.45">
      <c r="B123">
        <v>1906</v>
      </c>
    </row>
    <row r="124" spans="2:2" x14ac:dyDescent="0.45">
      <c r="B124">
        <v>19</v>
      </c>
    </row>
    <row r="125" spans="2:2" x14ac:dyDescent="0.45">
      <c r="B125">
        <v>16</v>
      </c>
    </row>
    <row r="126" spans="2:2" x14ac:dyDescent="0.45">
      <c r="B126">
        <v>20</v>
      </c>
    </row>
    <row r="127" spans="2:2" x14ac:dyDescent="0.45">
      <c r="B127">
        <v>11</v>
      </c>
    </row>
    <row r="128" spans="2:2" x14ac:dyDescent="0.45">
      <c r="B128">
        <v>13</v>
      </c>
    </row>
    <row r="129" spans="2:2" x14ac:dyDescent="0.45">
      <c r="B129">
        <v>5</v>
      </c>
    </row>
    <row r="130" spans="2:2" x14ac:dyDescent="0.45">
      <c r="B130">
        <v>4</v>
      </c>
    </row>
    <row r="131" spans="2:2" x14ac:dyDescent="0.45">
      <c r="B131">
        <v>5</v>
      </c>
    </row>
    <row r="132" spans="2:2" x14ac:dyDescent="0.45">
      <c r="B132">
        <v>1</v>
      </c>
    </row>
    <row r="133" spans="2:2" x14ac:dyDescent="0.45">
      <c r="B133">
        <v>989</v>
      </c>
    </row>
    <row r="134" spans="2:2" x14ac:dyDescent="0.45">
      <c r="B134">
        <v>0</v>
      </c>
    </row>
    <row r="135" spans="2:2" x14ac:dyDescent="0.45">
      <c r="B135">
        <v>0</v>
      </c>
    </row>
    <row r="136" spans="2:2" x14ac:dyDescent="0.45">
      <c r="B136">
        <v>0</v>
      </c>
    </row>
    <row r="137" spans="2:2" x14ac:dyDescent="0.45">
      <c r="B137">
        <v>0</v>
      </c>
    </row>
    <row r="138" spans="2:2" x14ac:dyDescent="0.45">
      <c r="B138">
        <v>0</v>
      </c>
    </row>
    <row r="139" spans="2:2" x14ac:dyDescent="0.45">
      <c r="B139">
        <v>7</v>
      </c>
    </row>
    <row r="140" spans="2:2" x14ac:dyDescent="0.45">
      <c r="B140">
        <v>75</v>
      </c>
    </row>
    <row r="141" spans="2:2" x14ac:dyDescent="0.45">
      <c r="B141">
        <v>268</v>
      </c>
    </row>
    <row r="142" spans="2:2" x14ac:dyDescent="0.45">
      <c r="B142">
        <v>661</v>
      </c>
    </row>
    <row r="143" spans="2:2" x14ac:dyDescent="0.45">
      <c r="B143">
        <v>1980</v>
      </c>
    </row>
    <row r="144" spans="2:2" x14ac:dyDescent="0.45">
      <c r="B144">
        <v>0</v>
      </c>
    </row>
    <row r="145" spans="2:2" x14ac:dyDescent="0.45">
      <c r="B145">
        <v>0</v>
      </c>
    </row>
    <row r="146" spans="2:2" x14ac:dyDescent="0.45">
      <c r="B146">
        <v>6</v>
      </c>
    </row>
    <row r="147" spans="2:2" x14ac:dyDescent="0.45">
      <c r="B147">
        <v>4</v>
      </c>
    </row>
    <row r="148" spans="2:2" x14ac:dyDescent="0.45">
      <c r="B148">
        <v>3</v>
      </c>
    </row>
    <row r="149" spans="2:2" x14ac:dyDescent="0.45">
      <c r="B149">
        <v>2</v>
      </c>
    </row>
    <row r="150" spans="2:2" x14ac:dyDescent="0.45">
      <c r="B150">
        <v>2</v>
      </c>
    </row>
    <row r="151" spans="2:2" x14ac:dyDescent="0.45">
      <c r="B151">
        <v>1</v>
      </c>
    </row>
    <row r="152" spans="2:2" x14ac:dyDescent="0.45">
      <c r="B152">
        <v>2</v>
      </c>
    </row>
    <row r="153" spans="2:2" x14ac:dyDescent="0.45">
      <c r="B153">
        <v>1393</v>
      </c>
    </row>
    <row r="154" spans="2:2" x14ac:dyDescent="0.45">
      <c r="B154">
        <v>0</v>
      </c>
    </row>
    <row r="155" spans="2:2" x14ac:dyDescent="0.45">
      <c r="B155">
        <v>78</v>
      </c>
    </row>
    <row r="156" spans="2:2" x14ac:dyDescent="0.45">
      <c r="B156">
        <v>155</v>
      </c>
    </row>
    <row r="157" spans="2:2" x14ac:dyDescent="0.45">
      <c r="B157">
        <v>123</v>
      </c>
    </row>
    <row r="158" spans="2:2" x14ac:dyDescent="0.45">
      <c r="B158">
        <v>122</v>
      </c>
    </row>
    <row r="159" spans="2:2" x14ac:dyDescent="0.45">
      <c r="B159">
        <v>71</v>
      </c>
    </row>
    <row r="160" spans="2:2" x14ac:dyDescent="0.45">
      <c r="B160">
        <v>42</v>
      </c>
    </row>
    <row r="161" spans="2:2" x14ac:dyDescent="0.45">
      <c r="B161">
        <v>11</v>
      </c>
    </row>
    <row r="162" spans="2:2" x14ac:dyDescent="0.45">
      <c r="B162">
        <v>5</v>
      </c>
    </row>
    <row r="163" spans="2:2" x14ac:dyDescent="0.45">
      <c r="B163">
        <v>1906</v>
      </c>
    </row>
    <row r="164" spans="2:2" x14ac:dyDescent="0.45">
      <c r="B164">
        <v>10</v>
      </c>
    </row>
    <row r="165" spans="2:2" x14ac:dyDescent="0.45">
      <c r="B165">
        <v>20</v>
      </c>
    </row>
    <row r="166" spans="2:2" x14ac:dyDescent="0.45">
      <c r="B166">
        <v>13</v>
      </c>
    </row>
    <row r="167" spans="2:2" x14ac:dyDescent="0.45">
      <c r="B167">
        <v>14</v>
      </c>
    </row>
    <row r="168" spans="2:2" x14ac:dyDescent="0.45">
      <c r="B168">
        <v>14</v>
      </c>
    </row>
    <row r="169" spans="2:2" x14ac:dyDescent="0.45">
      <c r="B169">
        <v>7</v>
      </c>
    </row>
    <row r="170" spans="2:2" x14ac:dyDescent="0.45">
      <c r="B170">
        <v>8</v>
      </c>
    </row>
    <row r="171" spans="2:2" x14ac:dyDescent="0.45">
      <c r="B171">
        <v>6</v>
      </c>
    </row>
    <row r="172" spans="2:2" x14ac:dyDescent="0.45">
      <c r="B172">
        <v>2</v>
      </c>
    </row>
    <row r="173" spans="2:2" x14ac:dyDescent="0.45">
      <c r="B173">
        <v>1997</v>
      </c>
    </row>
    <row r="174" spans="2:2" x14ac:dyDescent="0.45">
      <c r="B174">
        <v>0</v>
      </c>
    </row>
    <row r="175" spans="2:2" x14ac:dyDescent="0.45">
      <c r="B175">
        <v>0</v>
      </c>
    </row>
    <row r="176" spans="2:2" x14ac:dyDescent="0.45">
      <c r="B176">
        <v>0</v>
      </c>
    </row>
    <row r="177" spans="2:2" x14ac:dyDescent="0.45">
      <c r="B177">
        <v>0</v>
      </c>
    </row>
    <row r="178" spans="2:2" x14ac:dyDescent="0.45">
      <c r="B178">
        <v>1</v>
      </c>
    </row>
    <row r="179" spans="2:2" x14ac:dyDescent="0.45">
      <c r="B179">
        <v>0</v>
      </c>
    </row>
    <row r="180" spans="2:2" x14ac:dyDescent="0.45">
      <c r="B180">
        <v>0</v>
      </c>
    </row>
    <row r="181" spans="2:2" x14ac:dyDescent="0.45">
      <c r="B181">
        <v>0</v>
      </c>
    </row>
    <row r="182" spans="2:2" x14ac:dyDescent="0.45">
      <c r="B182">
        <v>2</v>
      </c>
    </row>
    <row r="183" spans="2:2" x14ac:dyDescent="0.45">
      <c r="B183">
        <v>1620</v>
      </c>
    </row>
    <row r="184" spans="2:2" x14ac:dyDescent="0.45">
      <c r="B184">
        <v>0</v>
      </c>
    </row>
    <row r="185" spans="2:2" x14ac:dyDescent="0.45">
      <c r="B185">
        <v>0</v>
      </c>
    </row>
    <row r="186" spans="2:2" x14ac:dyDescent="0.45">
      <c r="B186">
        <v>0</v>
      </c>
    </row>
    <row r="187" spans="2:2" x14ac:dyDescent="0.45">
      <c r="B187">
        <v>0</v>
      </c>
    </row>
    <row r="188" spans="2:2" x14ac:dyDescent="0.45">
      <c r="B188">
        <v>3</v>
      </c>
    </row>
    <row r="189" spans="2:2" x14ac:dyDescent="0.45">
      <c r="B189">
        <v>12</v>
      </c>
    </row>
    <row r="190" spans="2:2" x14ac:dyDescent="0.45">
      <c r="B190">
        <v>43</v>
      </c>
    </row>
    <row r="191" spans="2:2" x14ac:dyDescent="0.45">
      <c r="B191">
        <v>99</v>
      </c>
    </row>
    <row r="192" spans="2:2" x14ac:dyDescent="0.45">
      <c r="B192">
        <v>223</v>
      </c>
    </row>
    <row r="193" spans="2:2" x14ac:dyDescent="0.45">
      <c r="B193">
        <v>1997</v>
      </c>
    </row>
    <row r="194" spans="2:2" x14ac:dyDescent="0.45">
      <c r="B194">
        <v>1</v>
      </c>
    </row>
    <row r="195" spans="2:2" x14ac:dyDescent="0.45">
      <c r="B195">
        <v>1</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1</v>
      </c>
    </row>
    <row r="203" spans="2:2" x14ac:dyDescent="0.45">
      <c r="B203">
        <v>1902</v>
      </c>
    </row>
    <row r="204" spans="2:2" x14ac:dyDescent="0.45">
      <c r="B204">
        <v>16</v>
      </c>
    </row>
    <row r="205" spans="2:2" x14ac:dyDescent="0.45">
      <c r="B205">
        <v>21</v>
      </c>
    </row>
    <row r="206" spans="2:2" x14ac:dyDescent="0.45">
      <c r="B206">
        <v>12</v>
      </c>
    </row>
    <row r="207" spans="2:2" x14ac:dyDescent="0.45">
      <c r="B207">
        <v>18</v>
      </c>
    </row>
    <row r="208" spans="2:2" x14ac:dyDescent="0.45">
      <c r="B208">
        <v>16</v>
      </c>
    </row>
    <row r="209" spans="2:2" x14ac:dyDescent="0.45">
      <c r="B209">
        <v>8</v>
      </c>
    </row>
    <row r="210" spans="2:2" x14ac:dyDescent="0.45">
      <c r="B210">
        <v>2</v>
      </c>
    </row>
    <row r="211" spans="2:2" x14ac:dyDescent="0.45">
      <c r="B211">
        <v>2</v>
      </c>
    </row>
    <row r="212" spans="2:2" x14ac:dyDescent="0.45">
      <c r="B212">
        <v>3</v>
      </c>
    </row>
    <row r="213" spans="2:2" x14ac:dyDescent="0.45">
      <c r="B213">
        <v>1974</v>
      </c>
    </row>
    <row r="214" spans="2:2" x14ac:dyDescent="0.45">
      <c r="B214">
        <v>0</v>
      </c>
    </row>
    <row r="215" spans="2:2" x14ac:dyDescent="0.45">
      <c r="B215">
        <v>0</v>
      </c>
    </row>
    <row r="216" spans="2:2" x14ac:dyDescent="0.45">
      <c r="B216">
        <v>0</v>
      </c>
    </row>
    <row r="217" spans="2:2" x14ac:dyDescent="0.45">
      <c r="B217">
        <v>3</v>
      </c>
    </row>
    <row r="218" spans="2:2" x14ac:dyDescent="0.45">
      <c r="B218">
        <v>6</v>
      </c>
    </row>
    <row r="219" spans="2:2" x14ac:dyDescent="0.45">
      <c r="B219">
        <v>6</v>
      </c>
    </row>
    <row r="220" spans="2:2" x14ac:dyDescent="0.45">
      <c r="B220">
        <v>4</v>
      </c>
    </row>
    <row r="221" spans="2:2" x14ac:dyDescent="0.45">
      <c r="B221">
        <v>4</v>
      </c>
    </row>
    <row r="222" spans="2:2" x14ac:dyDescent="0.45">
      <c r="B222">
        <v>3</v>
      </c>
    </row>
    <row r="223" spans="2:2" x14ac:dyDescent="0.45">
      <c r="B223">
        <v>777</v>
      </c>
    </row>
    <row r="224" spans="2:2" x14ac:dyDescent="0.45">
      <c r="B224">
        <v>190</v>
      </c>
    </row>
    <row r="225" spans="2:2" x14ac:dyDescent="0.45">
      <c r="B225">
        <v>253</v>
      </c>
    </row>
    <row r="226" spans="2:2" x14ac:dyDescent="0.45">
      <c r="B226">
        <v>258</v>
      </c>
    </row>
    <row r="227" spans="2:2" x14ac:dyDescent="0.45">
      <c r="B227">
        <v>204</v>
      </c>
    </row>
    <row r="228" spans="2:2" x14ac:dyDescent="0.45">
      <c r="B228">
        <v>157</v>
      </c>
    </row>
    <row r="229" spans="2:2" x14ac:dyDescent="0.45">
      <c r="B229">
        <v>99</v>
      </c>
    </row>
    <row r="230" spans="2:2" x14ac:dyDescent="0.45">
      <c r="B230">
        <v>36</v>
      </c>
    </row>
    <row r="231" spans="2:2" x14ac:dyDescent="0.45">
      <c r="B231">
        <v>17</v>
      </c>
    </row>
    <row r="232" spans="2:2" x14ac:dyDescent="0.45">
      <c r="B232">
        <v>9</v>
      </c>
    </row>
    <row r="233" spans="2:2" x14ac:dyDescent="0.45">
      <c r="B233">
        <v>1015</v>
      </c>
    </row>
    <row r="234" spans="2:2" x14ac:dyDescent="0.45">
      <c r="B234">
        <v>0</v>
      </c>
    </row>
    <row r="235" spans="2:2" x14ac:dyDescent="0.45">
      <c r="B235">
        <v>0</v>
      </c>
    </row>
    <row r="236" spans="2:2" x14ac:dyDescent="0.45">
      <c r="B236">
        <v>33</v>
      </c>
    </row>
    <row r="237" spans="2:2" x14ac:dyDescent="0.45">
      <c r="B237">
        <v>208</v>
      </c>
    </row>
    <row r="238" spans="2:2" x14ac:dyDescent="0.45">
      <c r="B238">
        <v>235</v>
      </c>
    </row>
    <row r="239" spans="2:2" x14ac:dyDescent="0.45">
      <c r="B239">
        <v>249</v>
      </c>
    </row>
    <row r="240" spans="2:2" x14ac:dyDescent="0.45">
      <c r="B240">
        <v>148</v>
      </c>
    </row>
    <row r="241" spans="2:2" x14ac:dyDescent="0.45">
      <c r="B241">
        <v>91</v>
      </c>
    </row>
    <row r="242" spans="2:2" x14ac:dyDescent="0.45">
      <c r="B242">
        <v>21</v>
      </c>
    </row>
    <row r="243" spans="2:2" x14ac:dyDescent="0.45">
      <c r="B243">
        <v>1999</v>
      </c>
    </row>
    <row r="244" spans="2:2" x14ac:dyDescent="0.45">
      <c r="B244">
        <v>0</v>
      </c>
    </row>
    <row r="245" spans="2:2" x14ac:dyDescent="0.45">
      <c r="B245">
        <v>0</v>
      </c>
    </row>
    <row r="246" spans="2:2" x14ac:dyDescent="0.45">
      <c r="B246">
        <v>0</v>
      </c>
    </row>
    <row r="247" spans="2:2" x14ac:dyDescent="0.45">
      <c r="B247">
        <v>0</v>
      </c>
    </row>
    <row r="248" spans="2:2" x14ac:dyDescent="0.45">
      <c r="B248">
        <v>0</v>
      </c>
    </row>
    <row r="249" spans="2:2" x14ac:dyDescent="0.45">
      <c r="B249">
        <v>0</v>
      </c>
    </row>
    <row r="250" spans="2:2" x14ac:dyDescent="0.45">
      <c r="B250">
        <v>0</v>
      </c>
    </row>
    <row r="251" spans="2:2" x14ac:dyDescent="0.45">
      <c r="B251">
        <v>0</v>
      </c>
    </row>
    <row r="252" spans="2:2" x14ac:dyDescent="0.45">
      <c r="B252">
        <v>1</v>
      </c>
    </row>
    <row r="253" spans="2:2" x14ac:dyDescent="0.45">
      <c r="B253">
        <v>1892</v>
      </c>
    </row>
    <row r="254" spans="2:2" x14ac:dyDescent="0.45">
      <c r="B254">
        <v>5</v>
      </c>
    </row>
    <row r="255" spans="2:2" x14ac:dyDescent="0.45">
      <c r="B255">
        <v>20</v>
      </c>
    </row>
    <row r="256" spans="2:2" x14ac:dyDescent="0.45">
      <c r="B256">
        <v>21</v>
      </c>
    </row>
    <row r="257" spans="2:2" x14ac:dyDescent="0.45">
      <c r="B257">
        <v>19</v>
      </c>
    </row>
    <row r="258" spans="2:2" x14ac:dyDescent="0.45">
      <c r="B258">
        <v>12</v>
      </c>
    </row>
    <row r="259" spans="2:2" x14ac:dyDescent="0.45">
      <c r="B259">
        <v>17</v>
      </c>
    </row>
    <row r="260" spans="2:2" x14ac:dyDescent="0.45">
      <c r="B260">
        <v>7</v>
      </c>
    </row>
    <row r="261" spans="2:2" x14ac:dyDescent="0.45">
      <c r="B261">
        <v>5</v>
      </c>
    </row>
    <row r="262" spans="2:2" x14ac:dyDescent="0.45">
      <c r="B262">
        <v>2</v>
      </c>
    </row>
    <row r="263" spans="2:2" x14ac:dyDescent="0.45">
      <c r="B263">
        <v>1623</v>
      </c>
    </row>
    <row r="264" spans="2:2" x14ac:dyDescent="0.45">
      <c r="B264">
        <v>69</v>
      </c>
    </row>
    <row r="265" spans="2:2" x14ac:dyDescent="0.45">
      <c r="B265">
        <v>92</v>
      </c>
    </row>
    <row r="266" spans="2:2" x14ac:dyDescent="0.45">
      <c r="B266">
        <v>72</v>
      </c>
    </row>
    <row r="267" spans="2:2" x14ac:dyDescent="0.45">
      <c r="B267">
        <v>57</v>
      </c>
    </row>
    <row r="268" spans="2:2" x14ac:dyDescent="0.45">
      <c r="B268">
        <v>35</v>
      </c>
    </row>
    <row r="269" spans="2:2" x14ac:dyDescent="0.45">
      <c r="B269">
        <v>31</v>
      </c>
    </row>
    <row r="270" spans="2:2" x14ac:dyDescent="0.45">
      <c r="B270">
        <v>16</v>
      </c>
    </row>
    <row r="271" spans="2:2" x14ac:dyDescent="0.45">
      <c r="B271">
        <v>3</v>
      </c>
    </row>
    <row r="272" spans="2:2" x14ac:dyDescent="0.45">
      <c r="B272">
        <v>2</v>
      </c>
    </row>
    <row r="273" spans="2:2" x14ac:dyDescent="0.45">
      <c r="B273">
        <v>1606</v>
      </c>
    </row>
    <row r="274" spans="2:2" x14ac:dyDescent="0.45">
      <c r="B274">
        <v>32</v>
      </c>
    </row>
    <row r="275" spans="2:2" x14ac:dyDescent="0.45">
      <c r="B275">
        <v>65</v>
      </c>
    </row>
    <row r="276" spans="2:2" x14ac:dyDescent="0.45">
      <c r="B276">
        <v>75</v>
      </c>
    </row>
    <row r="277" spans="2:2" x14ac:dyDescent="0.45">
      <c r="B277">
        <v>53</v>
      </c>
    </row>
    <row r="278" spans="2:2" x14ac:dyDescent="0.45">
      <c r="B278">
        <v>47</v>
      </c>
    </row>
    <row r="279" spans="2:2" x14ac:dyDescent="0.45">
      <c r="B279">
        <v>43</v>
      </c>
    </row>
    <row r="280" spans="2:2" x14ac:dyDescent="0.45">
      <c r="B280">
        <v>40</v>
      </c>
    </row>
    <row r="281" spans="2:2" x14ac:dyDescent="0.45">
      <c r="B281">
        <v>27</v>
      </c>
    </row>
    <row r="282" spans="2:2" x14ac:dyDescent="0.45">
      <c r="B282">
        <v>12</v>
      </c>
    </row>
    <row r="283" spans="2:2" x14ac:dyDescent="0.45">
      <c r="B283">
        <v>1430</v>
      </c>
    </row>
    <row r="284" spans="2:2" x14ac:dyDescent="0.45">
      <c r="B284">
        <v>86</v>
      </c>
    </row>
    <row r="285" spans="2:2" x14ac:dyDescent="0.45">
      <c r="B285">
        <v>107</v>
      </c>
    </row>
    <row r="286" spans="2:2" x14ac:dyDescent="0.45">
      <c r="B286">
        <v>85</v>
      </c>
    </row>
    <row r="287" spans="2:2" x14ac:dyDescent="0.45">
      <c r="B287">
        <v>107</v>
      </c>
    </row>
    <row r="288" spans="2:2" x14ac:dyDescent="0.45">
      <c r="B288">
        <v>61</v>
      </c>
    </row>
    <row r="289" spans="2:2" x14ac:dyDescent="0.45">
      <c r="B289">
        <v>47</v>
      </c>
    </row>
    <row r="290" spans="2:2" x14ac:dyDescent="0.45">
      <c r="B290">
        <v>44</v>
      </c>
    </row>
    <row r="291" spans="2:2" x14ac:dyDescent="0.45">
      <c r="B291">
        <v>18</v>
      </c>
    </row>
    <row r="292" spans="2:2" x14ac:dyDescent="0.45">
      <c r="B292">
        <v>15</v>
      </c>
    </row>
    <row r="293" spans="2:2" x14ac:dyDescent="0.45">
      <c r="B293">
        <v>1906</v>
      </c>
    </row>
    <row r="294" spans="2:2" x14ac:dyDescent="0.45">
      <c r="B294">
        <v>19</v>
      </c>
    </row>
    <row r="295" spans="2:2" x14ac:dyDescent="0.45">
      <c r="B295">
        <v>22</v>
      </c>
    </row>
    <row r="296" spans="2:2" x14ac:dyDescent="0.45">
      <c r="B296">
        <v>15</v>
      </c>
    </row>
    <row r="297" spans="2:2" x14ac:dyDescent="0.45">
      <c r="B297">
        <v>14</v>
      </c>
    </row>
    <row r="298" spans="2:2" x14ac:dyDescent="0.45">
      <c r="B298">
        <v>12</v>
      </c>
    </row>
    <row r="299" spans="2:2" x14ac:dyDescent="0.45">
      <c r="B299">
        <v>6</v>
      </c>
    </row>
    <row r="300" spans="2:2" x14ac:dyDescent="0.45">
      <c r="B300">
        <v>0</v>
      </c>
    </row>
    <row r="301" spans="2:2" x14ac:dyDescent="0.45">
      <c r="B301">
        <v>4</v>
      </c>
    </row>
    <row r="302" spans="2:2" x14ac:dyDescent="0.45">
      <c r="B302">
        <v>2</v>
      </c>
    </row>
    <row r="303" spans="2:2" x14ac:dyDescent="0.45">
      <c r="B303">
        <v>1580</v>
      </c>
    </row>
    <row r="304" spans="2:2" x14ac:dyDescent="0.45">
      <c r="B304">
        <v>69</v>
      </c>
    </row>
    <row r="305" spans="2:2" x14ac:dyDescent="0.45">
      <c r="B305">
        <v>89</v>
      </c>
    </row>
    <row r="306" spans="2:2" x14ac:dyDescent="0.45">
      <c r="B306">
        <v>88</v>
      </c>
    </row>
    <row r="307" spans="2:2" x14ac:dyDescent="0.45">
      <c r="B307">
        <v>60</v>
      </c>
    </row>
    <row r="308" spans="2:2" x14ac:dyDescent="0.45">
      <c r="B308">
        <v>38</v>
      </c>
    </row>
    <row r="309" spans="2:2" x14ac:dyDescent="0.45">
      <c r="B309">
        <v>43</v>
      </c>
    </row>
    <row r="310" spans="2:2" x14ac:dyDescent="0.45">
      <c r="B310">
        <v>21</v>
      </c>
    </row>
    <row r="311" spans="2:2" x14ac:dyDescent="0.45">
      <c r="B311">
        <v>8</v>
      </c>
    </row>
    <row r="312" spans="2:2" x14ac:dyDescent="0.45">
      <c r="B312">
        <v>4</v>
      </c>
    </row>
    <row r="313" spans="2:2" x14ac:dyDescent="0.45">
      <c r="B313">
        <v>1437</v>
      </c>
    </row>
    <row r="314" spans="2:2" x14ac:dyDescent="0.45">
      <c r="B314">
        <v>91</v>
      </c>
    </row>
    <row r="315" spans="2:2" x14ac:dyDescent="0.45">
      <c r="B315">
        <v>113</v>
      </c>
    </row>
    <row r="316" spans="2:2" x14ac:dyDescent="0.45">
      <c r="B316">
        <v>125</v>
      </c>
    </row>
    <row r="317" spans="2:2" x14ac:dyDescent="0.45">
      <c r="B317">
        <v>81</v>
      </c>
    </row>
    <row r="318" spans="2:2" x14ac:dyDescent="0.45">
      <c r="B318">
        <v>63</v>
      </c>
    </row>
    <row r="319" spans="2:2" x14ac:dyDescent="0.45">
      <c r="B319">
        <v>44</v>
      </c>
    </row>
    <row r="320" spans="2:2" x14ac:dyDescent="0.45">
      <c r="B320">
        <v>24</v>
      </c>
    </row>
    <row r="321" spans="2:2" x14ac:dyDescent="0.45">
      <c r="B321">
        <v>16</v>
      </c>
    </row>
    <row r="322" spans="2:2" x14ac:dyDescent="0.45">
      <c r="B322">
        <v>6</v>
      </c>
    </row>
    <row r="323" spans="2:2" x14ac:dyDescent="0.45">
      <c r="B323">
        <v>1640</v>
      </c>
    </row>
    <row r="324" spans="2:2" x14ac:dyDescent="0.45">
      <c r="B324">
        <v>42</v>
      </c>
    </row>
    <row r="325" spans="2:2" x14ac:dyDescent="0.45">
      <c r="B325">
        <v>43</v>
      </c>
    </row>
    <row r="326" spans="2:2" x14ac:dyDescent="0.45">
      <c r="B326">
        <v>63</v>
      </c>
    </row>
    <row r="327" spans="2:2" x14ac:dyDescent="0.45">
      <c r="B327">
        <v>66</v>
      </c>
    </row>
    <row r="328" spans="2:2" x14ac:dyDescent="0.45">
      <c r="B328">
        <v>56</v>
      </c>
    </row>
    <row r="329" spans="2:2" x14ac:dyDescent="0.45">
      <c r="B329">
        <v>30</v>
      </c>
    </row>
    <row r="330" spans="2:2" x14ac:dyDescent="0.45">
      <c r="B330">
        <v>22</v>
      </c>
    </row>
    <row r="331" spans="2:2" x14ac:dyDescent="0.45">
      <c r="B331">
        <v>22</v>
      </c>
    </row>
    <row r="332" spans="2:2" x14ac:dyDescent="0.45">
      <c r="B332">
        <v>16</v>
      </c>
    </row>
    <row r="333" spans="2:2" x14ac:dyDescent="0.45">
      <c r="B333">
        <v>1806</v>
      </c>
    </row>
    <row r="334" spans="2:2" x14ac:dyDescent="0.45">
      <c r="B334">
        <v>0</v>
      </c>
    </row>
    <row r="335" spans="2:2" x14ac:dyDescent="0.45">
      <c r="B335">
        <v>0</v>
      </c>
    </row>
    <row r="336" spans="2:2" x14ac:dyDescent="0.45">
      <c r="B336">
        <v>0</v>
      </c>
    </row>
    <row r="337" spans="2:2" x14ac:dyDescent="0.45">
      <c r="B337">
        <v>15</v>
      </c>
    </row>
    <row r="338" spans="2:2" x14ac:dyDescent="0.45">
      <c r="B338">
        <v>44</v>
      </c>
    </row>
    <row r="339" spans="2:2" x14ac:dyDescent="0.45">
      <c r="B339">
        <v>61</v>
      </c>
    </row>
    <row r="340" spans="2:2" x14ac:dyDescent="0.45">
      <c r="B340">
        <v>38</v>
      </c>
    </row>
    <row r="341" spans="2:2" x14ac:dyDescent="0.45">
      <c r="B341">
        <v>24</v>
      </c>
    </row>
    <row r="342" spans="2:2" x14ac:dyDescent="0.45">
      <c r="B342">
        <v>12</v>
      </c>
    </row>
    <row r="343" spans="2:2" x14ac:dyDescent="0.45">
      <c r="B343">
        <v>1807</v>
      </c>
    </row>
    <row r="344" spans="2:2" x14ac:dyDescent="0.45">
      <c r="B344">
        <v>0</v>
      </c>
    </row>
    <row r="345" spans="2:2" x14ac:dyDescent="0.45">
      <c r="B345">
        <v>0</v>
      </c>
    </row>
    <row r="346" spans="2:2" x14ac:dyDescent="0.45">
      <c r="B346">
        <v>0</v>
      </c>
    </row>
    <row r="347" spans="2:2" x14ac:dyDescent="0.45">
      <c r="B347">
        <v>67</v>
      </c>
    </row>
    <row r="348" spans="2:2" x14ac:dyDescent="0.45">
      <c r="B348">
        <v>69</v>
      </c>
    </row>
    <row r="349" spans="2:2" x14ac:dyDescent="0.45">
      <c r="B349">
        <v>35</v>
      </c>
    </row>
    <row r="350" spans="2:2" x14ac:dyDescent="0.45">
      <c r="B350">
        <v>15</v>
      </c>
    </row>
    <row r="351" spans="2:2" x14ac:dyDescent="0.45">
      <c r="B351">
        <v>4</v>
      </c>
    </row>
    <row r="352" spans="2:2" x14ac:dyDescent="0.45">
      <c r="B352">
        <v>3</v>
      </c>
    </row>
    <row r="353" spans="2:2" x14ac:dyDescent="0.45">
      <c r="B353">
        <v>1780</v>
      </c>
    </row>
    <row r="354" spans="2:2" x14ac:dyDescent="0.45">
      <c r="B354">
        <v>0</v>
      </c>
    </row>
    <row r="355" spans="2:2" x14ac:dyDescent="0.45">
      <c r="B355">
        <v>0</v>
      </c>
    </row>
    <row r="356" spans="2:2" x14ac:dyDescent="0.45">
      <c r="B356">
        <v>26</v>
      </c>
    </row>
    <row r="357" spans="2:2" x14ac:dyDescent="0.45">
      <c r="B357">
        <v>91</v>
      </c>
    </row>
    <row r="358" spans="2:2" x14ac:dyDescent="0.45">
      <c r="B358">
        <v>62</v>
      </c>
    </row>
    <row r="359" spans="2:2" x14ac:dyDescent="0.45">
      <c r="B359">
        <v>18</v>
      </c>
    </row>
    <row r="360" spans="2:2" x14ac:dyDescent="0.45">
      <c r="B360">
        <v>17</v>
      </c>
    </row>
    <row r="361" spans="2:2" x14ac:dyDescent="0.45">
      <c r="B361">
        <v>5</v>
      </c>
    </row>
    <row r="362" spans="2:2" x14ac:dyDescent="0.45">
      <c r="B362">
        <v>1</v>
      </c>
    </row>
    <row r="363" spans="2:2" x14ac:dyDescent="0.45">
      <c r="B363">
        <v>1997</v>
      </c>
    </row>
    <row r="364" spans="2:2" x14ac:dyDescent="0.45">
      <c r="B364">
        <v>0</v>
      </c>
    </row>
    <row r="365" spans="2:2" x14ac:dyDescent="0.45">
      <c r="B365">
        <v>0</v>
      </c>
    </row>
    <row r="366" spans="2:2" x14ac:dyDescent="0.45">
      <c r="B366">
        <v>0</v>
      </c>
    </row>
    <row r="367" spans="2:2" x14ac:dyDescent="0.45">
      <c r="B367">
        <v>0</v>
      </c>
    </row>
    <row r="368" spans="2:2" x14ac:dyDescent="0.45">
      <c r="B368">
        <v>1</v>
      </c>
    </row>
    <row r="369" spans="2:2" x14ac:dyDescent="0.45">
      <c r="B369">
        <v>1</v>
      </c>
    </row>
    <row r="370" spans="2:2" x14ac:dyDescent="0.45">
      <c r="B370">
        <v>0</v>
      </c>
    </row>
    <row r="371" spans="2:2" x14ac:dyDescent="0.45">
      <c r="B371">
        <v>0</v>
      </c>
    </row>
    <row r="372" spans="2:2" x14ac:dyDescent="0.45">
      <c r="B372">
        <v>1</v>
      </c>
    </row>
    <row r="373" spans="2:2" x14ac:dyDescent="0.45">
      <c r="B373">
        <v>1911</v>
      </c>
    </row>
    <row r="374" spans="2:2" x14ac:dyDescent="0.45">
      <c r="B374">
        <v>0</v>
      </c>
    </row>
    <row r="375" spans="2:2" x14ac:dyDescent="0.45">
      <c r="B375">
        <v>0</v>
      </c>
    </row>
    <row r="376" spans="2:2" x14ac:dyDescent="0.45">
      <c r="B376">
        <v>1</v>
      </c>
    </row>
    <row r="377" spans="2:2" x14ac:dyDescent="0.45">
      <c r="B377">
        <v>8</v>
      </c>
    </row>
    <row r="378" spans="2:2" x14ac:dyDescent="0.45">
      <c r="B378">
        <v>8</v>
      </c>
    </row>
    <row r="379" spans="2:2" x14ac:dyDescent="0.45">
      <c r="B379">
        <v>16</v>
      </c>
    </row>
    <row r="380" spans="2:2" x14ac:dyDescent="0.45">
      <c r="B380">
        <v>18</v>
      </c>
    </row>
    <row r="381" spans="2:2" x14ac:dyDescent="0.45">
      <c r="B381">
        <v>21</v>
      </c>
    </row>
    <row r="382" spans="2:2" x14ac:dyDescent="0.45">
      <c r="B382">
        <v>17</v>
      </c>
    </row>
    <row r="383" spans="2:2" x14ac:dyDescent="0.45">
      <c r="B383">
        <v>1982</v>
      </c>
    </row>
    <row r="384" spans="2:2" x14ac:dyDescent="0.45">
      <c r="B384">
        <v>0</v>
      </c>
    </row>
    <row r="385" spans="2:2" x14ac:dyDescent="0.45">
      <c r="B385">
        <v>1</v>
      </c>
    </row>
    <row r="386" spans="2:2" x14ac:dyDescent="0.45">
      <c r="B386">
        <v>7</v>
      </c>
    </row>
    <row r="387" spans="2:2" x14ac:dyDescent="0.45">
      <c r="B387">
        <v>2</v>
      </c>
    </row>
    <row r="388" spans="2:2" x14ac:dyDescent="0.45">
      <c r="B388">
        <v>1</v>
      </c>
    </row>
    <row r="389" spans="2:2" x14ac:dyDescent="0.45">
      <c r="B389">
        <v>3</v>
      </c>
    </row>
    <row r="390" spans="2:2" x14ac:dyDescent="0.45">
      <c r="B390">
        <v>3</v>
      </c>
    </row>
    <row r="391" spans="2:2" x14ac:dyDescent="0.45">
      <c r="B391">
        <v>0</v>
      </c>
    </row>
    <row r="392" spans="2:2" x14ac:dyDescent="0.45">
      <c r="B392">
        <v>1</v>
      </c>
    </row>
    <row r="393" spans="2:2" x14ac:dyDescent="0.45">
      <c r="B393">
        <v>768</v>
      </c>
    </row>
    <row r="394" spans="2:2" x14ac:dyDescent="0.45">
      <c r="B394">
        <v>110</v>
      </c>
    </row>
    <row r="395" spans="2:2" x14ac:dyDescent="0.45">
      <c r="B395">
        <v>226</v>
      </c>
    </row>
    <row r="396" spans="2:2" x14ac:dyDescent="0.45">
      <c r="B396">
        <v>289</v>
      </c>
    </row>
    <row r="397" spans="2:2" x14ac:dyDescent="0.45">
      <c r="B397">
        <v>234</v>
      </c>
    </row>
    <row r="398" spans="2:2" x14ac:dyDescent="0.45">
      <c r="B398">
        <v>168</v>
      </c>
    </row>
    <row r="399" spans="2:2" x14ac:dyDescent="0.45">
      <c r="B399">
        <v>112</v>
      </c>
    </row>
    <row r="400" spans="2:2" x14ac:dyDescent="0.45">
      <c r="B400">
        <v>70</v>
      </c>
    </row>
    <row r="401" spans="2:2" x14ac:dyDescent="0.45">
      <c r="B401">
        <v>18</v>
      </c>
    </row>
    <row r="402" spans="2:2" x14ac:dyDescent="0.45">
      <c r="B402">
        <v>5</v>
      </c>
    </row>
    <row r="403" spans="2:2" x14ac:dyDescent="0.45">
      <c r="B403">
        <v>1977</v>
      </c>
    </row>
    <row r="404" spans="2:2" x14ac:dyDescent="0.45">
      <c r="B404">
        <v>0</v>
      </c>
    </row>
    <row r="405" spans="2:2" x14ac:dyDescent="0.45">
      <c r="B405">
        <v>0</v>
      </c>
    </row>
    <row r="406" spans="2:2" x14ac:dyDescent="0.45">
      <c r="B406">
        <v>3</v>
      </c>
    </row>
    <row r="407" spans="2:2" x14ac:dyDescent="0.45">
      <c r="B407">
        <v>1</v>
      </c>
    </row>
    <row r="408" spans="2:2" x14ac:dyDescent="0.45">
      <c r="B408">
        <v>5</v>
      </c>
    </row>
    <row r="409" spans="2:2" x14ac:dyDescent="0.45">
      <c r="B409">
        <v>5</v>
      </c>
    </row>
    <row r="410" spans="2:2" x14ac:dyDescent="0.45">
      <c r="B410">
        <v>3</v>
      </c>
    </row>
    <row r="411" spans="2:2" x14ac:dyDescent="0.45">
      <c r="B411">
        <v>3</v>
      </c>
    </row>
    <row r="412" spans="2:2" x14ac:dyDescent="0.45">
      <c r="B412">
        <v>3</v>
      </c>
    </row>
    <row r="413" spans="2:2" x14ac:dyDescent="0.45">
      <c r="B413">
        <v>1901</v>
      </c>
    </row>
    <row r="414" spans="2:2" x14ac:dyDescent="0.45">
      <c r="B414">
        <v>1</v>
      </c>
    </row>
    <row r="415" spans="2:2" x14ac:dyDescent="0.45">
      <c r="B415">
        <v>12</v>
      </c>
    </row>
    <row r="416" spans="2:2" x14ac:dyDescent="0.45">
      <c r="B416">
        <v>21</v>
      </c>
    </row>
    <row r="417" spans="2:2" x14ac:dyDescent="0.45">
      <c r="B417">
        <v>20</v>
      </c>
    </row>
    <row r="418" spans="2:2" x14ac:dyDescent="0.45">
      <c r="B418">
        <v>12</v>
      </c>
    </row>
    <row r="419" spans="2:2" x14ac:dyDescent="0.45">
      <c r="B419">
        <v>20</v>
      </c>
    </row>
    <row r="420" spans="2:2" x14ac:dyDescent="0.45">
      <c r="B420">
        <v>8</v>
      </c>
    </row>
    <row r="421" spans="2:2" x14ac:dyDescent="0.45">
      <c r="B421">
        <v>4</v>
      </c>
    </row>
    <row r="422" spans="2:2" x14ac:dyDescent="0.45">
      <c r="B422">
        <v>1</v>
      </c>
    </row>
    <row r="423" spans="2:2" x14ac:dyDescent="0.45">
      <c r="B423">
        <v>1422</v>
      </c>
    </row>
    <row r="424" spans="2:2" x14ac:dyDescent="0.45">
      <c r="B424">
        <v>80</v>
      </c>
    </row>
    <row r="425" spans="2:2" x14ac:dyDescent="0.45">
      <c r="B425">
        <v>93</v>
      </c>
    </row>
    <row r="426" spans="2:2" x14ac:dyDescent="0.45">
      <c r="B426">
        <v>98</v>
      </c>
    </row>
    <row r="427" spans="2:2" x14ac:dyDescent="0.45">
      <c r="B427">
        <v>111</v>
      </c>
    </row>
    <row r="428" spans="2:2" x14ac:dyDescent="0.45">
      <c r="B428">
        <v>58</v>
      </c>
    </row>
    <row r="429" spans="2:2" x14ac:dyDescent="0.45">
      <c r="B429">
        <v>60</v>
      </c>
    </row>
    <row r="430" spans="2:2" x14ac:dyDescent="0.45">
      <c r="B430">
        <v>49</v>
      </c>
    </row>
    <row r="431" spans="2:2" x14ac:dyDescent="0.45">
      <c r="B431">
        <v>19</v>
      </c>
    </row>
    <row r="432" spans="2:2" x14ac:dyDescent="0.45">
      <c r="B432">
        <v>10</v>
      </c>
    </row>
    <row r="433" spans="2:2" x14ac:dyDescent="0.45">
      <c r="B433">
        <v>1876</v>
      </c>
    </row>
    <row r="434" spans="2:2" x14ac:dyDescent="0.45">
      <c r="B434">
        <v>0</v>
      </c>
    </row>
    <row r="435" spans="2:2" x14ac:dyDescent="0.45">
      <c r="B435">
        <v>0</v>
      </c>
    </row>
    <row r="436" spans="2:2" x14ac:dyDescent="0.45">
      <c r="B436">
        <v>0</v>
      </c>
    </row>
    <row r="437" spans="2:2" x14ac:dyDescent="0.45">
      <c r="B437">
        <v>0</v>
      </c>
    </row>
    <row r="438" spans="2:2" x14ac:dyDescent="0.45">
      <c r="B438">
        <v>15</v>
      </c>
    </row>
    <row r="439" spans="2:2" x14ac:dyDescent="0.45">
      <c r="B439">
        <v>41</v>
      </c>
    </row>
    <row r="440" spans="2:2" x14ac:dyDescent="0.45">
      <c r="B440">
        <v>46</v>
      </c>
    </row>
    <row r="441" spans="2:2" x14ac:dyDescent="0.45">
      <c r="B441">
        <v>17</v>
      </c>
    </row>
    <row r="442" spans="2:2" x14ac:dyDescent="0.45">
      <c r="B442">
        <v>5</v>
      </c>
    </row>
    <row r="443" spans="2:2" x14ac:dyDescent="0.45">
      <c r="B443">
        <v>1272</v>
      </c>
    </row>
    <row r="444" spans="2:2" x14ac:dyDescent="0.45">
      <c r="B444">
        <v>149</v>
      </c>
    </row>
    <row r="445" spans="2:2" x14ac:dyDescent="0.45">
      <c r="B445">
        <v>167</v>
      </c>
    </row>
    <row r="446" spans="2:2" x14ac:dyDescent="0.45">
      <c r="B446">
        <v>169</v>
      </c>
    </row>
    <row r="447" spans="2:2" x14ac:dyDescent="0.45">
      <c r="B447">
        <v>95</v>
      </c>
    </row>
    <row r="448" spans="2:2" x14ac:dyDescent="0.45">
      <c r="B448">
        <v>64</v>
      </c>
    </row>
    <row r="449" spans="2:2" x14ac:dyDescent="0.45">
      <c r="B449">
        <v>46</v>
      </c>
    </row>
    <row r="450" spans="2:2" x14ac:dyDescent="0.45">
      <c r="B450">
        <v>24</v>
      </c>
    </row>
    <row r="451" spans="2:2" x14ac:dyDescent="0.45">
      <c r="B451">
        <v>10</v>
      </c>
    </row>
    <row r="452" spans="2:2" x14ac:dyDescent="0.45">
      <c r="B452">
        <v>4</v>
      </c>
    </row>
    <row r="453" spans="2:2" x14ac:dyDescent="0.45">
      <c r="B453">
        <v>1412</v>
      </c>
    </row>
    <row r="454" spans="2:2" x14ac:dyDescent="0.45">
      <c r="B454">
        <v>0</v>
      </c>
    </row>
    <row r="455" spans="2:2" x14ac:dyDescent="0.45">
      <c r="B455">
        <v>0</v>
      </c>
    </row>
    <row r="456" spans="2:2" x14ac:dyDescent="0.45">
      <c r="B456">
        <v>23</v>
      </c>
    </row>
    <row r="457" spans="2:2" x14ac:dyDescent="0.45">
      <c r="B457">
        <v>127</v>
      </c>
    </row>
    <row r="458" spans="2:2" x14ac:dyDescent="0.45">
      <c r="B458">
        <v>152</v>
      </c>
    </row>
    <row r="459" spans="2:2" x14ac:dyDescent="0.45">
      <c r="B459">
        <v>150</v>
      </c>
    </row>
    <row r="460" spans="2:2" x14ac:dyDescent="0.45">
      <c r="B460">
        <v>90</v>
      </c>
    </row>
    <row r="461" spans="2:2" x14ac:dyDescent="0.45">
      <c r="B461">
        <v>39</v>
      </c>
    </row>
    <row r="462" spans="2:2" x14ac:dyDescent="0.45">
      <c r="B462">
        <v>7</v>
      </c>
    </row>
    <row r="463" spans="2:2" x14ac:dyDescent="0.45">
      <c r="B463">
        <v>1601</v>
      </c>
    </row>
    <row r="464" spans="2:2" x14ac:dyDescent="0.45">
      <c r="B464">
        <v>1</v>
      </c>
    </row>
    <row r="465" spans="2:2" x14ac:dyDescent="0.45">
      <c r="B465">
        <v>21</v>
      </c>
    </row>
    <row r="466" spans="2:2" x14ac:dyDescent="0.45">
      <c r="B466">
        <v>50</v>
      </c>
    </row>
    <row r="467" spans="2:2" x14ac:dyDescent="0.45">
      <c r="B467">
        <v>73</v>
      </c>
    </row>
    <row r="468" spans="2:2" x14ac:dyDescent="0.45">
      <c r="B468">
        <v>76</v>
      </c>
    </row>
    <row r="469" spans="2:2" x14ac:dyDescent="0.45">
      <c r="B469">
        <v>76</v>
      </c>
    </row>
    <row r="470" spans="2:2" x14ac:dyDescent="0.45">
      <c r="B470">
        <v>61</v>
      </c>
    </row>
    <row r="471" spans="2:2" x14ac:dyDescent="0.45">
      <c r="B471">
        <v>32</v>
      </c>
    </row>
    <row r="472" spans="2:2" x14ac:dyDescent="0.45">
      <c r="B472">
        <v>9</v>
      </c>
    </row>
    <row r="473" spans="2:2" x14ac:dyDescent="0.45">
      <c r="B473">
        <v>1999</v>
      </c>
    </row>
    <row r="474" spans="2:2" x14ac:dyDescent="0.45">
      <c r="B474">
        <v>0</v>
      </c>
    </row>
    <row r="475" spans="2:2" x14ac:dyDescent="0.45">
      <c r="B475">
        <v>0</v>
      </c>
    </row>
    <row r="476" spans="2:2" x14ac:dyDescent="0.45">
      <c r="B476">
        <v>0</v>
      </c>
    </row>
    <row r="477" spans="2:2" x14ac:dyDescent="0.45">
      <c r="B477">
        <v>0</v>
      </c>
    </row>
    <row r="478" spans="2:2" x14ac:dyDescent="0.45">
      <c r="B478">
        <v>0</v>
      </c>
    </row>
    <row r="479" spans="2:2" x14ac:dyDescent="0.45">
      <c r="B479">
        <v>0</v>
      </c>
    </row>
    <row r="480" spans="2:2" x14ac:dyDescent="0.45">
      <c r="B480">
        <v>0</v>
      </c>
    </row>
    <row r="481" spans="2:2" x14ac:dyDescent="0.45">
      <c r="B481">
        <v>0</v>
      </c>
    </row>
    <row r="482" spans="2:2" x14ac:dyDescent="0.45">
      <c r="B482">
        <v>1</v>
      </c>
    </row>
    <row r="483" spans="2:2" x14ac:dyDescent="0.45">
      <c r="B483">
        <v>1975</v>
      </c>
    </row>
    <row r="484" spans="2:2" x14ac:dyDescent="0.45">
      <c r="B484">
        <v>0</v>
      </c>
    </row>
    <row r="485" spans="2:2" x14ac:dyDescent="0.45">
      <c r="B485">
        <v>2</v>
      </c>
    </row>
    <row r="486" spans="2:2" x14ac:dyDescent="0.45">
      <c r="B486">
        <v>2</v>
      </c>
    </row>
    <row r="487" spans="2:2" x14ac:dyDescent="0.45">
      <c r="B487">
        <v>3</v>
      </c>
    </row>
    <row r="488" spans="2:2" x14ac:dyDescent="0.45">
      <c r="B488">
        <v>7</v>
      </c>
    </row>
    <row r="489" spans="2:2" x14ac:dyDescent="0.45">
      <c r="B489">
        <v>5</v>
      </c>
    </row>
    <row r="490" spans="2:2" x14ac:dyDescent="0.45">
      <c r="B490">
        <v>1</v>
      </c>
    </row>
    <row r="491" spans="2:2" x14ac:dyDescent="0.45">
      <c r="B491">
        <v>1</v>
      </c>
    </row>
    <row r="492" spans="2:2" x14ac:dyDescent="0.45">
      <c r="B492">
        <v>4</v>
      </c>
    </row>
    <row r="493" spans="2:2" x14ac:dyDescent="0.45">
      <c r="B493">
        <v>587</v>
      </c>
    </row>
    <row r="494" spans="2:2" x14ac:dyDescent="0.45">
      <c r="B494">
        <v>67</v>
      </c>
    </row>
    <row r="495" spans="2:2" x14ac:dyDescent="0.45">
      <c r="B495">
        <v>332</v>
      </c>
    </row>
    <row r="496" spans="2:2" x14ac:dyDescent="0.45">
      <c r="B496">
        <v>371</v>
      </c>
    </row>
    <row r="497" spans="2:2" x14ac:dyDescent="0.45">
      <c r="B497">
        <v>281</v>
      </c>
    </row>
    <row r="498" spans="2:2" x14ac:dyDescent="0.45">
      <c r="B498">
        <v>199</v>
      </c>
    </row>
    <row r="499" spans="2:2" x14ac:dyDescent="0.45">
      <c r="B499">
        <v>103</v>
      </c>
    </row>
    <row r="500" spans="2:2" x14ac:dyDescent="0.45">
      <c r="B500">
        <v>44</v>
      </c>
    </row>
    <row r="501" spans="2:2" x14ac:dyDescent="0.45">
      <c r="B501">
        <v>15</v>
      </c>
    </row>
    <row r="502" spans="2:2" x14ac:dyDescent="0.45">
      <c r="B502">
        <v>1</v>
      </c>
    </row>
    <row r="503" spans="2:2" x14ac:dyDescent="0.45">
      <c r="B503">
        <v>1798</v>
      </c>
    </row>
    <row r="504" spans="2:2" x14ac:dyDescent="0.45">
      <c r="B504">
        <v>0</v>
      </c>
    </row>
    <row r="505" spans="2:2" x14ac:dyDescent="0.45">
      <c r="B505">
        <v>10</v>
      </c>
    </row>
    <row r="506" spans="2:2" x14ac:dyDescent="0.45">
      <c r="B506">
        <v>35</v>
      </c>
    </row>
    <row r="507" spans="2:2" x14ac:dyDescent="0.45">
      <c r="B507">
        <v>32</v>
      </c>
    </row>
    <row r="508" spans="2:2" x14ac:dyDescent="0.45">
      <c r="B508">
        <v>41</v>
      </c>
    </row>
    <row r="509" spans="2:2" x14ac:dyDescent="0.45">
      <c r="B509">
        <v>39</v>
      </c>
    </row>
    <row r="510" spans="2:2" x14ac:dyDescent="0.45">
      <c r="B510">
        <v>22</v>
      </c>
    </row>
    <row r="511" spans="2:2" x14ac:dyDescent="0.45">
      <c r="B511">
        <v>16</v>
      </c>
    </row>
    <row r="512" spans="2:2" x14ac:dyDescent="0.45">
      <c r="B512">
        <v>7</v>
      </c>
    </row>
    <row r="513" spans="2:2" x14ac:dyDescent="0.45">
      <c r="B513">
        <v>1997</v>
      </c>
    </row>
    <row r="514" spans="2:2" x14ac:dyDescent="0.45">
      <c r="B514">
        <v>0</v>
      </c>
    </row>
    <row r="515" spans="2:2" x14ac:dyDescent="0.45">
      <c r="B515">
        <v>0</v>
      </c>
    </row>
    <row r="516" spans="2:2" x14ac:dyDescent="0.45">
      <c r="B516">
        <v>0</v>
      </c>
    </row>
    <row r="517" spans="2:2" x14ac:dyDescent="0.45">
      <c r="B517">
        <v>0</v>
      </c>
    </row>
    <row r="518" spans="2:2" x14ac:dyDescent="0.45">
      <c r="B518">
        <v>0</v>
      </c>
    </row>
    <row r="519" spans="2:2" x14ac:dyDescent="0.45">
      <c r="B519">
        <v>1</v>
      </c>
    </row>
    <row r="520" spans="2:2" x14ac:dyDescent="0.45">
      <c r="B520">
        <v>0</v>
      </c>
    </row>
    <row r="521" spans="2:2" x14ac:dyDescent="0.45">
      <c r="B521">
        <v>1</v>
      </c>
    </row>
    <row r="522" spans="2:2" x14ac:dyDescent="0.45">
      <c r="B522">
        <v>1</v>
      </c>
    </row>
    <row r="523" spans="2:2" x14ac:dyDescent="0.45">
      <c r="B523">
        <v>1614</v>
      </c>
    </row>
    <row r="524" spans="2:2" x14ac:dyDescent="0.45">
      <c r="B524">
        <v>0</v>
      </c>
    </row>
    <row r="525" spans="2:2" x14ac:dyDescent="0.45">
      <c r="B525">
        <v>170</v>
      </c>
    </row>
    <row r="526" spans="2:2" x14ac:dyDescent="0.45">
      <c r="B526">
        <v>94</v>
      </c>
    </row>
    <row r="527" spans="2:2" x14ac:dyDescent="0.45">
      <c r="B527">
        <v>56</v>
      </c>
    </row>
    <row r="528" spans="2:2" x14ac:dyDescent="0.45">
      <c r="B528">
        <v>35</v>
      </c>
    </row>
    <row r="529" spans="2:2" x14ac:dyDescent="0.45">
      <c r="B529">
        <v>18</v>
      </c>
    </row>
    <row r="530" spans="2:2" x14ac:dyDescent="0.45">
      <c r="B530">
        <v>9</v>
      </c>
    </row>
    <row r="531" spans="2:2" x14ac:dyDescent="0.45">
      <c r="B531">
        <v>2</v>
      </c>
    </row>
    <row r="532" spans="2:2" x14ac:dyDescent="0.45">
      <c r="B532">
        <v>2</v>
      </c>
    </row>
    <row r="533" spans="2:2" x14ac:dyDescent="0.45">
      <c r="B533">
        <v>1981</v>
      </c>
    </row>
    <row r="534" spans="2:2" x14ac:dyDescent="0.45">
      <c r="B534">
        <v>0</v>
      </c>
    </row>
    <row r="535" spans="2:2" x14ac:dyDescent="0.45">
      <c r="B535">
        <v>1</v>
      </c>
    </row>
    <row r="536" spans="2:2" x14ac:dyDescent="0.45">
      <c r="B536">
        <v>2</v>
      </c>
    </row>
    <row r="537" spans="2:2" x14ac:dyDescent="0.45">
      <c r="B537">
        <v>6</v>
      </c>
    </row>
    <row r="538" spans="2:2" x14ac:dyDescent="0.45">
      <c r="B538">
        <v>2</v>
      </c>
    </row>
    <row r="539" spans="2:2" x14ac:dyDescent="0.45">
      <c r="B539">
        <v>1</v>
      </c>
    </row>
    <row r="540" spans="2:2" x14ac:dyDescent="0.45">
      <c r="B540">
        <v>3</v>
      </c>
    </row>
    <row r="541" spans="2:2" x14ac:dyDescent="0.45">
      <c r="B541">
        <v>2</v>
      </c>
    </row>
    <row r="542" spans="2:2" x14ac:dyDescent="0.45">
      <c r="B542">
        <v>2</v>
      </c>
    </row>
    <row r="543" spans="2:2" x14ac:dyDescent="0.45">
      <c r="B543">
        <v>1989</v>
      </c>
    </row>
    <row r="544" spans="2:2" x14ac:dyDescent="0.45">
      <c r="B544">
        <v>0</v>
      </c>
    </row>
    <row r="545" spans="2:2" x14ac:dyDescent="0.45">
      <c r="B545">
        <v>0</v>
      </c>
    </row>
    <row r="546" spans="2:2" x14ac:dyDescent="0.45">
      <c r="B546">
        <v>0</v>
      </c>
    </row>
    <row r="547" spans="2:2" x14ac:dyDescent="0.45">
      <c r="B547">
        <v>6</v>
      </c>
    </row>
    <row r="548" spans="2:2" x14ac:dyDescent="0.45">
      <c r="B548">
        <v>0</v>
      </c>
    </row>
    <row r="549" spans="2:2" x14ac:dyDescent="0.45">
      <c r="B549">
        <v>3</v>
      </c>
    </row>
    <row r="550" spans="2:2" x14ac:dyDescent="0.45">
      <c r="B550">
        <v>0</v>
      </c>
    </row>
    <row r="551" spans="2:2" x14ac:dyDescent="0.45">
      <c r="B551">
        <v>1</v>
      </c>
    </row>
    <row r="552" spans="2:2" x14ac:dyDescent="0.45">
      <c r="B552">
        <v>1</v>
      </c>
    </row>
    <row r="553" spans="2:2" x14ac:dyDescent="0.45">
      <c r="B553">
        <v>1582</v>
      </c>
    </row>
    <row r="554" spans="2:2" x14ac:dyDescent="0.45">
      <c r="B554">
        <v>0</v>
      </c>
    </row>
    <row r="555" spans="2:2" x14ac:dyDescent="0.45">
      <c r="B555">
        <v>0</v>
      </c>
    </row>
    <row r="556" spans="2:2" x14ac:dyDescent="0.45">
      <c r="B556">
        <v>65</v>
      </c>
    </row>
    <row r="557" spans="2:2" x14ac:dyDescent="0.45">
      <c r="B557">
        <v>121</v>
      </c>
    </row>
    <row r="558" spans="2:2" x14ac:dyDescent="0.45">
      <c r="B558">
        <v>86</v>
      </c>
    </row>
    <row r="559" spans="2:2" x14ac:dyDescent="0.45">
      <c r="B559">
        <v>75</v>
      </c>
    </row>
    <row r="560" spans="2:2" x14ac:dyDescent="0.45">
      <c r="B560">
        <v>49</v>
      </c>
    </row>
    <row r="561" spans="2:2" x14ac:dyDescent="0.45">
      <c r="B561">
        <v>13</v>
      </c>
    </row>
    <row r="562" spans="2:2" x14ac:dyDescent="0.45">
      <c r="B562">
        <v>9</v>
      </c>
    </row>
    <row r="563" spans="2:2" x14ac:dyDescent="0.45">
      <c r="B563">
        <v>1820</v>
      </c>
    </row>
    <row r="564" spans="2:2" x14ac:dyDescent="0.45">
      <c r="B564">
        <v>2</v>
      </c>
    </row>
    <row r="565" spans="2:2" x14ac:dyDescent="0.45">
      <c r="B565">
        <v>25</v>
      </c>
    </row>
    <row r="566" spans="2:2" x14ac:dyDescent="0.45">
      <c r="B566">
        <v>29</v>
      </c>
    </row>
    <row r="567" spans="2:2" x14ac:dyDescent="0.45">
      <c r="B567">
        <v>26</v>
      </c>
    </row>
    <row r="568" spans="2:2" x14ac:dyDescent="0.45">
      <c r="B568">
        <v>36</v>
      </c>
    </row>
    <row r="569" spans="2:2" x14ac:dyDescent="0.45">
      <c r="B569">
        <v>23</v>
      </c>
    </row>
    <row r="570" spans="2:2" x14ac:dyDescent="0.45">
      <c r="B570">
        <v>25</v>
      </c>
    </row>
    <row r="571" spans="2:2" x14ac:dyDescent="0.45">
      <c r="B571">
        <v>10</v>
      </c>
    </row>
    <row r="572" spans="2:2" x14ac:dyDescent="0.45">
      <c r="B572">
        <v>4</v>
      </c>
    </row>
    <row r="573" spans="2:2" x14ac:dyDescent="0.45">
      <c r="B573">
        <v>1591</v>
      </c>
    </row>
    <row r="574" spans="2:2" x14ac:dyDescent="0.45">
      <c r="B574">
        <v>0</v>
      </c>
    </row>
    <row r="575" spans="2:2" x14ac:dyDescent="0.45">
      <c r="B575">
        <v>0</v>
      </c>
    </row>
    <row r="576" spans="2:2" x14ac:dyDescent="0.45">
      <c r="B576">
        <v>77</v>
      </c>
    </row>
    <row r="577" spans="2:2" x14ac:dyDescent="0.45">
      <c r="B577">
        <v>158</v>
      </c>
    </row>
    <row r="578" spans="2:2" x14ac:dyDescent="0.45">
      <c r="B578">
        <v>102</v>
      </c>
    </row>
    <row r="579" spans="2:2" x14ac:dyDescent="0.45">
      <c r="B579">
        <v>37</v>
      </c>
    </row>
    <row r="580" spans="2:2" x14ac:dyDescent="0.45">
      <c r="B580">
        <v>26</v>
      </c>
    </row>
    <row r="581" spans="2:2" x14ac:dyDescent="0.45">
      <c r="B581">
        <v>7</v>
      </c>
    </row>
    <row r="582" spans="2:2" x14ac:dyDescent="0.45">
      <c r="B582">
        <v>2</v>
      </c>
    </row>
    <row r="583" spans="2:2" x14ac:dyDescent="0.45">
      <c r="B583">
        <v>1982</v>
      </c>
    </row>
    <row r="584" spans="2:2" x14ac:dyDescent="0.45">
      <c r="B584">
        <v>0</v>
      </c>
    </row>
    <row r="585" spans="2:2" x14ac:dyDescent="0.45">
      <c r="B585">
        <v>3</v>
      </c>
    </row>
    <row r="586" spans="2:2" x14ac:dyDescent="0.45">
      <c r="B586">
        <v>7</v>
      </c>
    </row>
    <row r="587" spans="2:2" x14ac:dyDescent="0.45">
      <c r="B587">
        <v>4</v>
      </c>
    </row>
    <row r="588" spans="2:2" x14ac:dyDescent="0.45">
      <c r="B588">
        <v>0</v>
      </c>
    </row>
    <row r="589" spans="2:2" x14ac:dyDescent="0.45">
      <c r="B589">
        <v>1</v>
      </c>
    </row>
    <row r="590" spans="2:2" x14ac:dyDescent="0.45">
      <c r="B590">
        <v>1</v>
      </c>
    </row>
    <row r="591" spans="2:2" x14ac:dyDescent="0.45">
      <c r="B591">
        <v>1</v>
      </c>
    </row>
    <row r="592" spans="2:2" x14ac:dyDescent="0.45">
      <c r="B592">
        <v>1</v>
      </c>
    </row>
    <row r="593" spans="2:2" x14ac:dyDescent="0.45">
      <c r="B593">
        <v>1900</v>
      </c>
    </row>
    <row r="594" spans="2:2" x14ac:dyDescent="0.45">
      <c r="B594">
        <v>4</v>
      </c>
    </row>
    <row r="595" spans="2:2" x14ac:dyDescent="0.45">
      <c r="B595">
        <v>19</v>
      </c>
    </row>
    <row r="596" spans="2:2" x14ac:dyDescent="0.45">
      <c r="B596">
        <v>21</v>
      </c>
    </row>
    <row r="597" spans="2:2" x14ac:dyDescent="0.45">
      <c r="B597">
        <v>17</v>
      </c>
    </row>
    <row r="598" spans="2:2" x14ac:dyDescent="0.45">
      <c r="B598">
        <v>17</v>
      </c>
    </row>
    <row r="599" spans="2:2" x14ac:dyDescent="0.45">
      <c r="B599">
        <v>10</v>
      </c>
    </row>
    <row r="600" spans="2:2" x14ac:dyDescent="0.45">
      <c r="B600">
        <v>10</v>
      </c>
    </row>
    <row r="601" spans="2:2" x14ac:dyDescent="0.45">
      <c r="B601">
        <v>0</v>
      </c>
    </row>
    <row r="602" spans="2:2" x14ac:dyDescent="0.45">
      <c r="B602">
        <v>2</v>
      </c>
    </row>
    <row r="603" spans="2:2" x14ac:dyDescent="0.45">
      <c r="B603">
        <v>1618</v>
      </c>
    </row>
    <row r="604" spans="2:2" x14ac:dyDescent="0.45">
      <c r="B604">
        <v>1</v>
      </c>
    </row>
    <row r="605" spans="2:2" x14ac:dyDescent="0.45">
      <c r="B605">
        <v>130</v>
      </c>
    </row>
    <row r="606" spans="2:2" x14ac:dyDescent="0.45">
      <c r="B606">
        <v>86</v>
      </c>
    </row>
    <row r="607" spans="2:2" x14ac:dyDescent="0.45">
      <c r="B607">
        <v>66</v>
      </c>
    </row>
    <row r="608" spans="2:2" x14ac:dyDescent="0.45">
      <c r="B608">
        <v>49</v>
      </c>
    </row>
    <row r="609" spans="2:2" x14ac:dyDescent="0.45">
      <c r="B609">
        <v>23</v>
      </c>
    </row>
    <row r="610" spans="2:2" x14ac:dyDescent="0.45">
      <c r="B610">
        <v>15</v>
      </c>
    </row>
    <row r="611" spans="2:2" x14ac:dyDescent="0.45">
      <c r="B611">
        <v>6</v>
      </c>
    </row>
    <row r="612" spans="2:2" x14ac:dyDescent="0.45">
      <c r="B612">
        <v>6</v>
      </c>
    </row>
    <row r="613" spans="2:2" x14ac:dyDescent="0.45">
      <c r="B613">
        <v>1980</v>
      </c>
    </row>
    <row r="614" spans="2:2" x14ac:dyDescent="0.45">
      <c r="B614">
        <v>4</v>
      </c>
    </row>
    <row r="615" spans="2:2" x14ac:dyDescent="0.45">
      <c r="B615">
        <v>1</v>
      </c>
    </row>
    <row r="616" spans="2:2" x14ac:dyDescent="0.45">
      <c r="B616">
        <v>4</v>
      </c>
    </row>
    <row r="617" spans="2:2" x14ac:dyDescent="0.45">
      <c r="B617">
        <v>4</v>
      </c>
    </row>
    <row r="618" spans="2:2" x14ac:dyDescent="0.45">
      <c r="B618">
        <v>0</v>
      </c>
    </row>
    <row r="619" spans="2:2" x14ac:dyDescent="0.45">
      <c r="B619">
        <v>1</v>
      </c>
    </row>
    <row r="620" spans="2:2" x14ac:dyDescent="0.45">
      <c r="B620">
        <v>1</v>
      </c>
    </row>
    <row r="621" spans="2:2" x14ac:dyDescent="0.45">
      <c r="B621">
        <v>2</v>
      </c>
    </row>
    <row r="622" spans="2:2" x14ac:dyDescent="0.45">
      <c r="B622">
        <v>3</v>
      </c>
    </row>
    <row r="623" spans="2:2" x14ac:dyDescent="0.45">
      <c r="B623">
        <v>1894</v>
      </c>
    </row>
    <row r="624" spans="2:2" x14ac:dyDescent="0.45">
      <c r="B624">
        <v>0</v>
      </c>
    </row>
    <row r="625" spans="2:2" x14ac:dyDescent="0.45">
      <c r="B625">
        <v>20</v>
      </c>
    </row>
    <row r="626" spans="2:2" x14ac:dyDescent="0.45">
      <c r="B626">
        <v>21</v>
      </c>
    </row>
    <row r="627" spans="2:2" x14ac:dyDescent="0.45">
      <c r="B627">
        <v>23</v>
      </c>
    </row>
    <row r="628" spans="2:2" x14ac:dyDescent="0.45">
      <c r="B628">
        <v>18</v>
      </c>
    </row>
    <row r="629" spans="2:2" x14ac:dyDescent="0.45">
      <c r="B629">
        <v>13</v>
      </c>
    </row>
    <row r="630" spans="2:2" x14ac:dyDescent="0.45">
      <c r="B630">
        <v>4</v>
      </c>
    </row>
    <row r="631" spans="2:2" x14ac:dyDescent="0.45">
      <c r="B631">
        <v>4</v>
      </c>
    </row>
    <row r="632" spans="2:2" x14ac:dyDescent="0.45">
      <c r="B632">
        <v>3</v>
      </c>
    </row>
    <row r="633" spans="2:2" x14ac:dyDescent="0.45">
      <c r="B633">
        <v>1605</v>
      </c>
    </row>
    <row r="634" spans="2:2" x14ac:dyDescent="0.45">
      <c r="B634">
        <v>0</v>
      </c>
    </row>
    <row r="635" spans="2:2" x14ac:dyDescent="0.45">
      <c r="B635">
        <v>10</v>
      </c>
    </row>
    <row r="636" spans="2:2" x14ac:dyDescent="0.45">
      <c r="B636">
        <v>64</v>
      </c>
    </row>
    <row r="637" spans="2:2" x14ac:dyDescent="0.45">
      <c r="B637">
        <v>99</v>
      </c>
    </row>
    <row r="638" spans="2:2" x14ac:dyDescent="0.45">
      <c r="B638">
        <v>86</v>
      </c>
    </row>
    <row r="639" spans="2:2" x14ac:dyDescent="0.45">
      <c r="B639">
        <v>54</v>
      </c>
    </row>
    <row r="640" spans="2:2" x14ac:dyDescent="0.45">
      <c r="B640">
        <v>46</v>
      </c>
    </row>
    <row r="641" spans="2:2" x14ac:dyDescent="0.45">
      <c r="B641">
        <v>21</v>
      </c>
    </row>
    <row r="642" spans="2:2" x14ac:dyDescent="0.45">
      <c r="B642">
        <v>15</v>
      </c>
    </row>
    <row r="643" spans="2:2" x14ac:dyDescent="0.45">
      <c r="B643">
        <v>752</v>
      </c>
    </row>
    <row r="644" spans="2:2" x14ac:dyDescent="0.45">
      <c r="B644">
        <v>285</v>
      </c>
    </row>
    <row r="645" spans="2:2" x14ac:dyDescent="0.45">
      <c r="B645">
        <v>278</v>
      </c>
    </row>
    <row r="646" spans="2:2" x14ac:dyDescent="0.45">
      <c r="B646">
        <v>223</v>
      </c>
    </row>
    <row r="647" spans="2:2" x14ac:dyDescent="0.45">
      <c r="B647">
        <v>181</v>
      </c>
    </row>
    <row r="648" spans="2:2" x14ac:dyDescent="0.45">
      <c r="B648">
        <v>131</v>
      </c>
    </row>
    <row r="649" spans="2:2" x14ac:dyDescent="0.45">
      <c r="B649">
        <v>84</v>
      </c>
    </row>
    <row r="650" spans="2:2" x14ac:dyDescent="0.45">
      <c r="B650">
        <v>43</v>
      </c>
    </row>
    <row r="651" spans="2:2" x14ac:dyDescent="0.45">
      <c r="B651">
        <v>15</v>
      </c>
    </row>
    <row r="652" spans="2:2" x14ac:dyDescent="0.45">
      <c r="B652">
        <v>8</v>
      </c>
    </row>
    <row r="653" spans="2:2" x14ac:dyDescent="0.45">
      <c r="B653">
        <v>1975</v>
      </c>
    </row>
    <row r="654" spans="2:2" x14ac:dyDescent="0.45">
      <c r="B654">
        <v>0</v>
      </c>
    </row>
    <row r="655" spans="2:2" x14ac:dyDescent="0.45">
      <c r="B655">
        <v>0</v>
      </c>
    </row>
    <row r="656" spans="2:2" x14ac:dyDescent="0.45">
      <c r="B656">
        <v>0</v>
      </c>
    </row>
    <row r="657" spans="2:2" x14ac:dyDescent="0.45">
      <c r="B657">
        <v>0</v>
      </c>
    </row>
    <row r="658" spans="2:2" x14ac:dyDescent="0.45">
      <c r="B658">
        <v>0</v>
      </c>
    </row>
    <row r="659" spans="2:2" x14ac:dyDescent="0.45">
      <c r="B659">
        <v>1</v>
      </c>
    </row>
    <row r="660" spans="2:2" x14ac:dyDescent="0.45">
      <c r="B660">
        <v>5</v>
      </c>
    </row>
    <row r="661" spans="2:2" x14ac:dyDescent="0.45">
      <c r="B661">
        <v>11</v>
      </c>
    </row>
    <row r="662" spans="2:2" x14ac:dyDescent="0.45">
      <c r="B662">
        <v>8</v>
      </c>
    </row>
    <row r="663" spans="2:2" x14ac:dyDescent="0.45">
      <c r="B663">
        <v>1816</v>
      </c>
    </row>
    <row r="664" spans="2:2" x14ac:dyDescent="0.45">
      <c r="B664">
        <v>0</v>
      </c>
    </row>
    <row r="665" spans="2:2" x14ac:dyDescent="0.45">
      <c r="B665">
        <v>1</v>
      </c>
    </row>
    <row r="666" spans="2:2" x14ac:dyDescent="0.45">
      <c r="B666">
        <v>22</v>
      </c>
    </row>
    <row r="667" spans="2:2" x14ac:dyDescent="0.45">
      <c r="B667">
        <v>30</v>
      </c>
    </row>
    <row r="668" spans="2:2" x14ac:dyDescent="0.45">
      <c r="B668">
        <v>36</v>
      </c>
    </row>
    <row r="669" spans="2:2" x14ac:dyDescent="0.45">
      <c r="B669">
        <v>36</v>
      </c>
    </row>
    <row r="670" spans="2:2" x14ac:dyDescent="0.45">
      <c r="B670">
        <v>32</v>
      </c>
    </row>
    <row r="671" spans="2:2" x14ac:dyDescent="0.45">
      <c r="B671">
        <v>20</v>
      </c>
    </row>
    <row r="672" spans="2:2" x14ac:dyDescent="0.45">
      <c r="B672">
        <v>7</v>
      </c>
    </row>
    <row r="673" spans="2:2" x14ac:dyDescent="0.45">
      <c r="B673">
        <v>0</v>
      </c>
    </row>
    <row r="674" spans="2:2" x14ac:dyDescent="0.45">
      <c r="B674">
        <v>0</v>
      </c>
    </row>
    <row r="675" spans="2:2" x14ac:dyDescent="0.45">
      <c r="B675">
        <v>0</v>
      </c>
    </row>
    <row r="676" spans="2:2" x14ac:dyDescent="0.45">
      <c r="B676">
        <v>0</v>
      </c>
    </row>
    <row r="677" spans="2:2" x14ac:dyDescent="0.45">
      <c r="B677">
        <v>0</v>
      </c>
    </row>
    <row r="678" spans="2:2" x14ac:dyDescent="0.45">
      <c r="B678">
        <v>2000</v>
      </c>
    </row>
    <row r="679" spans="2:2" x14ac:dyDescent="0.45">
      <c r="B679">
        <v>0</v>
      </c>
    </row>
    <row r="680" spans="2:2" x14ac:dyDescent="0.45">
      <c r="B680">
        <v>0</v>
      </c>
    </row>
    <row r="681" spans="2:2" x14ac:dyDescent="0.45">
      <c r="B681">
        <v>0</v>
      </c>
    </row>
    <row r="682" spans="2:2" x14ac:dyDescent="0.45">
      <c r="B682">
        <v>0</v>
      </c>
    </row>
    <row r="683" spans="2:2" x14ac:dyDescent="0.45">
      <c r="B683">
        <v>1997</v>
      </c>
    </row>
    <row r="684" spans="2:2" x14ac:dyDescent="0.45">
      <c r="B684">
        <v>0</v>
      </c>
    </row>
    <row r="685" spans="2:2" x14ac:dyDescent="0.45">
      <c r="B685">
        <v>0</v>
      </c>
    </row>
    <row r="686" spans="2:2" x14ac:dyDescent="0.45">
      <c r="B686">
        <v>0</v>
      </c>
    </row>
    <row r="687" spans="2:2" x14ac:dyDescent="0.45">
      <c r="B687">
        <v>0</v>
      </c>
    </row>
    <row r="688" spans="2:2" x14ac:dyDescent="0.45">
      <c r="B688">
        <v>0</v>
      </c>
    </row>
    <row r="689" spans="2:2" x14ac:dyDescent="0.45">
      <c r="B689">
        <v>0</v>
      </c>
    </row>
    <row r="690" spans="2:2" x14ac:dyDescent="0.45">
      <c r="B690">
        <v>0</v>
      </c>
    </row>
    <row r="691" spans="2:2" x14ac:dyDescent="0.45">
      <c r="B691">
        <v>0</v>
      </c>
    </row>
    <row r="692" spans="2:2" x14ac:dyDescent="0.45">
      <c r="B692">
        <v>3</v>
      </c>
    </row>
    <row r="693" spans="2:2" x14ac:dyDescent="0.45">
      <c r="B693">
        <v>1912</v>
      </c>
    </row>
    <row r="694" spans="2:2" x14ac:dyDescent="0.45">
      <c r="B694">
        <v>1</v>
      </c>
    </row>
    <row r="695" spans="2:2" x14ac:dyDescent="0.45">
      <c r="B695">
        <v>6</v>
      </c>
    </row>
    <row r="696" spans="2:2" x14ac:dyDescent="0.45">
      <c r="B696">
        <v>6</v>
      </c>
    </row>
    <row r="697" spans="2:2" x14ac:dyDescent="0.45">
      <c r="B697">
        <v>19</v>
      </c>
    </row>
    <row r="698" spans="2:2" x14ac:dyDescent="0.45">
      <c r="B698">
        <v>13</v>
      </c>
    </row>
    <row r="699" spans="2:2" x14ac:dyDescent="0.45">
      <c r="B699">
        <v>19</v>
      </c>
    </row>
    <row r="700" spans="2:2" x14ac:dyDescent="0.45">
      <c r="B700">
        <v>11</v>
      </c>
    </row>
    <row r="701" spans="2:2" x14ac:dyDescent="0.45">
      <c r="B701">
        <v>7</v>
      </c>
    </row>
    <row r="702" spans="2:2" x14ac:dyDescent="0.45">
      <c r="B702">
        <v>6</v>
      </c>
    </row>
    <row r="703" spans="2:2" x14ac:dyDescent="0.45">
      <c r="B703">
        <v>1976</v>
      </c>
    </row>
    <row r="704" spans="2:2" x14ac:dyDescent="0.45">
      <c r="B704">
        <v>0</v>
      </c>
    </row>
    <row r="705" spans="2:2" x14ac:dyDescent="0.45">
      <c r="B705">
        <v>0</v>
      </c>
    </row>
    <row r="706" spans="2:2" x14ac:dyDescent="0.45">
      <c r="B706">
        <v>0</v>
      </c>
    </row>
    <row r="707" spans="2:2" x14ac:dyDescent="0.45">
      <c r="B707">
        <v>1</v>
      </c>
    </row>
    <row r="708" spans="2:2" x14ac:dyDescent="0.45">
      <c r="B708">
        <v>1</v>
      </c>
    </row>
    <row r="709" spans="2:2" x14ac:dyDescent="0.45">
      <c r="B709">
        <v>3</v>
      </c>
    </row>
    <row r="710" spans="2:2" x14ac:dyDescent="0.45">
      <c r="B710">
        <v>6</v>
      </c>
    </row>
    <row r="711" spans="2:2" x14ac:dyDescent="0.45">
      <c r="B711">
        <v>8</v>
      </c>
    </row>
    <row r="712" spans="2:2" x14ac:dyDescent="0.45">
      <c r="B712">
        <v>5</v>
      </c>
    </row>
    <row r="713" spans="2:2" x14ac:dyDescent="0.45">
      <c r="B713">
        <v>1911</v>
      </c>
    </row>
    <row r="714" spans="2:2" x14ac:dyDescent="0.45">
      <c r="B714">
        <v>0</v>
      </c>
    </row>
    <row r="715" spans="2:2" x14ac:dyDescent="0.45">
      <c r="B715">
        <v>16</v>
      </c>
    </row>
    <row r="716" spans="2:2" x14ac:dyDescent="0.45">
      <c r="B716">
        <v>21</v>
      </c>
    </row>
    <row r="717" spans="2:2" x14ac:dyDescent="0.45">
      <c r="B717">
        <v>21</v>
      </c>
    </row>
    <row r="718" spans="2:2" x14ac:dyDescent="0.45">
      <c r="B718">
        <v>15</v>
      </c>
    </row>
    <row r="719" spans="2:2" x14ac:dyDescent="0.45">
      <c r="B719">
        <v>9</v>
      </c>
    </row>
    <row r="720" spans="2:2" x14ac:dyDescent="0.45">
      <c r="B720">
        <v>3</v>
      </c>
    </row>
    <row r="721" spans="2:2" x14ac:dyDescent="0.45">
      <c r="B721">
        <v>2</v>
      </c>
    </row>
    <row r="722" spans="2:2" x14ac:dyDescent="0.45">
      <c r="B722">
        <v>2</v>
      </c>
    </row>
    <row r="723" spans="2:2" x14ac:dyDescent="0.45">
      <c r="B723">
        <v>1394</v>
      </c>
    </row>
    <row r="724" spans="2:2" x14ac:dyDescent="0.45">
      <c r="B724">
        <v>78</v>
      </c>
    </row>
    <row r="725" spans="2:2" x14ac:dyDescent="0.45">
      <c r="B725">
        <v>154</v>
      </c>
    </row>
    <row r="726" spans="2:2" x14ac:dyDescent="0.45">
      <c r="B726">
        <v>125</v>
      </c>
    </row>
    <row r="727" spans="2:2" x14ac:dyDescent="0.45">
      <c r="B727">
        <v>115</v>
      </c>
    </row>
    <row r="728" spans="2:2" x14ac:dyDescent="0.45">
      <c r="B728">
        <v>64</v>
      </c>
    </row>
    <row r="729" spans="2:2" x14ac:dyDescent="0.45">
      <c r="B729">
        <v>38</v>
      </c>
    </row>
    <row r="730" spans="2:2" x14ac:dyDescent="0.45">
      <c r="B730">
        <v>24</v>
      </c>
    </row>
    <row r="731" spans="2:2" x14ac:dyDescent="0.45">
      <c r="B731">
        <v>5</v>
      </c>
    </row>
    <row r="732" spans="2:2" x14ac:dyDescent="0.45">
      <c r="B732">
        <v>3</v>
      </c>
    </row>
    <row r="733" spans="2:2" x14ac:dyDescent="0.45">
      <c r="B733">
        <v>1601</v>
      </c>
    </row>
    <row r="734" spans="2:2" x14ac:dyDescent="0.45">
      <c r="B734">
        <v>45</v>
      </c>
    </row>
    <row r="735" spans="2:2" x14ac:dyDescent="0.45">
      <c r="B735">
        <v>97</v>
      </c>
    </row>
    <row r="736" spans="2:2" x14ac:dyDescent="0.45">
      <c r="B736">
        <v>87</v>
      </c>
    </row>
    <row r="737" spans="2:2" x14ac:dyDescent="0.45">
      <c r="B737">
        <v>65</v>
      </c>
    </row>
    <row r="738" spans="2:2" x14ac:dyDescent="0.45">
      <c r="B738">
        <v>48</v>
      </c>
    </row>
    <row r="739" spans="2:2" x14ac:dyDescent="0.45">
      <c r="B739">
        <v>24</v>
      </c>
    </row>
    <row r="740" spans="2:2" x14ac:dyDescent="0.45">
      <c r="B740">
        <v>18</v>
      </c>
    </row>
    <row r="741" spans="2:2" x14ac:dyDescent="0.45">
      <c r="B741">
        <v>11</v>
      </c>
    </row>
    <row r="742" spans="2:2" x14ac:dyDescent="0.45">
      <c r="B742">
        <v>4</v>
      </c>
    </row>
    <row r="743" spans="2:2" x14ac:dyDescent="0.45">
      <c r="B743">
        <v>1890</v>
      </c>
    </row>
    <row r="744" spans="2:2" x14ac:dyDescent="0.45">
      <c r="B744">
        <v>5</v>
      </c>
    </row>
    <row r="745" spans="2:2" x14ac:dyDescent="0.45">
      <c r="B745">
        <v>23</v>
      </c>
    </row>
    <row r="746" spans="2:2" x14ac:dyDescent="0.45">
      <c r="B746">
        <v>19</v>
      </c>
    </row>
    <row r="747" spans="2:2" x14ac:dyDescent="0.45">
      <c r="B747">
        <v>10</v>
      </c>
    </row>
    <row r="748" spans="2:2" x14ac:dyDescent="0.45">
      <c r="B748">
        <v>12</v>
      </c>
    </row>
    <row r="749" spans="2:2" x14ac:dyDescent="0.45">
      <c r="B749">
        <v>16</v>
      </c>
    </row>
    <row r="750" spans="2:2" x14ac:dyDescent="0.45">
      <c r="B750">
        <v>8</v>
      </c>
    </row>
    <row r="751" spans="2:2" x14ac:dyDescent="0.45">
      <c r="B751">
        <v>9</v>
      </c>
    </row>
    <row r="752" spans="2:2" x14ac:dyDescent="0.45">
      <c r="B752">
        <v>8</v>
      </c>
    </row>
    <row r="753" spans="2:2" x14ac:dyDescent="0.45">
      <c r="B753">
        <v>1981</v>
      </c>
    </row>
    <row r="754" spans="2:2" x14ac:dyDescent="0.45">
      <c r="B754">
        <v>0</v>
      </c>
    </row>
    <row r="755" spans="2:2" x14ac:dyDescent="0.45">
      <c r="B755">
        <v>0</v>
      </c>
    </row>
    <row r="756" spans="2:2" x14ac:dyDescent="0.45">
      <c r="B756">
        <v>0</v>
      </c>
    </row>
    <row r="757" spans="2:2" x14ac:dyDescent="0.45">
      <c r="B757">
        <v>3</v>
      </c>
    </row>
    <row r="758" spans="2:2" x14ac:dyDescent="0.45">
      <c r="B758">
        <v>4</v>
      </c>
    </row>
    <row r="759" spans="2:2" x14ac:dyDescent="0.45">
      <c r="B759">
        <v>6</v>
      </c>
    </row>
    <row r="760" spans="2:2" x14ac:dyDescent="0.45">
      <c r="B760">
        <v>1</v>
      </c>
    </row>
    <row r="761" spans="2:2" x14ac:dyDescent="0.45">
      <c r="B761">
        <v>2</v>
      </c>
    </row>
    <row r="762" spans="2:2" x14ac:dyDescent="0.45">
      <c r="B762">
        <v>3</v>
      </c>
    </row>
    <row r="763" spans="2:2" x14ac:dyDescent="0.45">
      <c r="B763">
        <v>1914</v>
      </c>
    </row>
    <row r="764" spans="2:2" x14ac:dyDescent="0.45">
      <c r="B764">
        <v>0</v>
      </c>
    </row>
    <row r="765" spans="2:2" x14ac:dyDescent="0.45">
      <c r="B765">
        <v>0</v>
      </c>
    </row>
    <row r="766" spans="2:2" x14ac:dyDescent="0.45">
      <c r="B766">
        <v>10</v>
      </c>
    </row>
    <row r="767" spans="2:2" x14ac:dyDescent="0.45">
      <c r="B767">
        <v>17</v>
      </c>
    </row>
    <row r="768" spans="2:2" x14ac:dyDescent="0.45">
      <c r="B768">
        <v>19</v>
      </c>
    </row>
    <row r="769" spans="2:2" x14ac:dyDescent="0.45">
      <c r="B769">
        <v>17</v>
      </c>
    </row>
    <row r="770" spans="2:2" x14ac:dyDescent="0.45">
      <c r="B770">
        <v>10</v>
      </c>
    </row>
    <row r="771" spans="2:2" x14ac:dyDescent="0.45">
      <c r="B771">
        <v>11</v>
      </c>
    </row>
    <row r="772" spans="2:2" x14ac:dyDescent="0.45">
      <c r="B772">
        <v>2</v>
      </c>
    </row>
    <row r="773" spans="2:2" x14ac:dyDescent="0.45">
      <c r="B773">
        <v>1594</v>
      </c>
    </row>
    <row r="774" spans="2:2" x14ac:dyDescent="0.45">
      <c r="B774">
        <v>65</v>
      </c>
    </row>
    <row r="775" spans="2:2" x14ac:dyDescent="0.45">
      <c r="B775">
        <v>114</v>
      </c>
    </row>
    <row r="776" spans="2:2" x14ac:dyDescent="0.45">
      <c r="B776">
        <v>74</v>
      </c>
    </row>
    <row r="777" spans="2:2" x14ac:dyDescent="0.45">
      <c r="B777">
        <v>74</v>
      </c>
    </row>
    <row r="778" spans="2:2" x14ac:dyDescent="0.45">
      <c r="B778">
        <v>34</v>
      </c>
    </row>
    <row r="779" spans="2:2" x14ac:dyDescent="0.45">
      <c r="B779">
        <v>22</v>
      </c>
    </row>
    <row r="780" spans="2:2" x14ac:dyDescent="0.45">
      <c r="B780">
        <v>13</v>
      </c>
    </row>
    <row r="781" spans="2:2" x14ac:dyDescent="0.45">
      <c r="B781">
        <v>5</v>
      </c>
    </row>
    <row r="782" spans="2:2" x14ac:dyDescent="0.45">
      <c r="B782">
        <v>5</v>
      </c>
    </row>
    <row r="783" spans="2:2" x14ac:dyDescent="0.45">
      <c r="B783">
        <v>1587</v>
      </c>
    </row>
    <row r="784" spans="2:2" x14ac:dyDescent="0.45">
      <c r="B784">
        <v>0</v>
      </c>
    </row>
    <row r="785" spans="2:2" x14ac:dyDescent="0.45">
      <c r="B785">
        <v>0</v>
      </c>
    </row>
    <row r="786" spans="2:2" x14ac:dyDescent="0.45">
      <c r="B786">
        <v>12</v>
      </c>
    </row>
    <row r="787" spans="2:2" x14ac:dyDescent="0.45">
      <c r="B787">
        <v>91</v>
      </c>
    </row>
    <row r="788" spans="2:2" x14ac:dyDescent="0.45">
      <c r="B788">
        <v>115</v>
      </c>
    </row>
    <row r="789" spans="2:2" x14ac:dyDescent="0.45">
      <c r="B789">
        <v>104</v>
      </c>
    </row>
    <row r="790" spans="2:2" x14ac:dyDescent="0.45">
      <c r="B790">
        <v>62</v>
      </c>
    </row>
    <row r="791" spans="2:2" x14ac:dyDescent="0.45">
      <c r="B791">
        <v>25</v>
      </c>
    </row>
    <row r="792" spans="2:2" x14ac:dyDescent="0.45">
      <c r="B792">
        <v>4</v>
      </c>
    </row>
    <row r="793" spans="2:2" x14ac:dyDescent="0.45">
      <c r="B793">
        <v>1890</v>
      </c>
    </row>
    <row r="794" spans="2:2" x14ac:dyDescent="0.45">
      <c r="B794">
        <v>0</v>
      </c>
    </row>
    <row r="795" spans="2:2" x14ac:dyDescent="0.45">
      <c r="B795">
        <v>0</v>
      </c>
    </row>
    <row r="796" spans="2:2" x14ac:dyDescent="0.45">
      <c r="B796">
        <v>6</v>
      </c>
    </row>
    <row r="797" spans="2:2" x14ac:dyDescent="0.45">
      <c r="B797">
        <v>9</v>
      </c>
    </row>
    <row r="798" spans="2:2" x14ac:dyDescent="0.45">
      <c r="B798">
        <v>11</v>
      </c>
    </row>
    <row r="799" spans="2:2" x14ac:dyDescent="0.45">
      <c r="B799">
        <v>15</v>
      </c>
    </row>
    <row r="800" spans="2:2" x14ac:dyDescent="0.45">
      <c r="B800">
        <v>31</v>
      </c>
    </row>
    <row r="801" spans="2:2" x14ac:dyDescent="0.45">
      <c r="B801">
        <v>22</v>
      </c>
    </row>
    <row r="802" spans="2:2" x14ac:dyDescent="0.45">
      <c r="B802">
        <v>16</v>
      </c>
    </row>
    <row r="803" spans="2:2" x14ac:dyDescent="0.45">
      <c r="B803">
        <v>1998</v>
      </c>
    </row>
    <row r="804" spans="2:2" x14ac:dyDescent="0.45">
      <c r="B804">
        <v>0</v>
      </c>
    </row>
    <row r="805" spans="2:2" x14ac:dyDescent="0.45">
      <c r="B805">
        <v>0</v>
      </c>
    </row>
    <row r="806" spans="2:2" x14ac:dyDescent="0.45">
      <c r="B806">
        <v>0</v>
      </c>
    </row>
    <row r="807" spans="2:2" x14ac:dyDescent="0.45">
      <c r="B807">
        <v>0</v>
      </c>
    </row>
    <row r="808" spans="2:2" x14ac:dyDescent="0.45">
      <c r="B808">
        <v>1</v>
      </c>
    </row>
    <row r="809" spans="2:2" x14ac:dyDescent="0.45">
      <c r="B809">
        <v>0</v>
      </c>
    </row>
    <row r="810" spans="2:2" x14ac:dyDescent="0.45">
      <c r="B810">
        <v>0</v>
      </c>
    </row>
    <row r="811" spans="2:2" x14ac:dyDescent="0.45">
      <c r="B811">
        <v>0</v>
      </c>
    </row>
    <row r="812" spans="2:2" x14ac:dyDescent="0.45">
      <c r="B812">
        <v>1</v>
      </c>
    </row>
    <row r="813" spans="2:2" x14ac:dyDescent="0.45">
      <c r="B813">
        <v>581</v>
      </c>
    </row>
    <row r="814" spans="2:2" x14ac:dyDescent="0.45">
      <c r="B814">
        <v>0</v>
      </c>
    </row>
    <row r="815" spans="2:2" x14ac:dyDescent="0.45">
      <c r="B815">
        <v>0</v>
      </c>
    </row>
    <row r="816" spans="2:2" x14ac:dyDescent="0.45">
      <c r="B816">
        <v>0</v>
      </c>
    </row>
    <row r="817" spans="2:2" x14ac:dyDescent="0.45">
      <c r="B817">
        <v>217</v>
      </c>
    </row>
    <row r="818" spans="2:2" x14ac:dyDescent="0.45">
      <c r="B818">
        <v>428</v>
      </c>
    </row>
    <row r="819" spans="2:2" x14ac:dyDescent="0.45">
      <c r="B819">
        <v>340</v>
      </c>
    </row>
    <row r="820" spans="2:2" x14ac:dyDescent="0.45">
      <c r="B820">
        <v>225</v>
      </c>
    </row>
    <row r="821" spans="2:2" x14ac:dyDescent="0.45">
      <c r="B821">
        <v>160</v>
      </c>
    </row>
    <row r="822" spans="2:2" x14ac:dyDescent="0.45">
      <c r="B822">
        <v>49</v>
      </c>
    </row>
    <row r="823" spans="2:2" x14ac:dyDescent="0.45">
      <c r="B823">
        <v>1911</v>
      </c>
    </row>
    <row r="824" spans="2:2" x14ac:dyDescent="0.45">
      <c r="B824">
        <v>3</v>
      </c>
    </row>
    <row r="825" spans="2:2" x14ac:dyDescent="0.45">
      <c r="B825">
        <v>12</v>
      </c>
    </row>
    <row r="826" spans="2:2" x14ac:dyDescent="0.45">
      <c r="B826">
        <v>18</v>
      </c>
    </row>
    <row r="827" spans="2:2" x14ac:dyDescent="0.45">
      <c r="B827">
        <v>13</v>
      </c>
    </row>
    <row r="828" spans="2:2" x14ac:dyDescent="0.45">
      <c r="B828">
        <v>16</v>
      </c>
    </row>
    <row r="829" spans="2:2" x14ac:dyDescent="0.45">
      <c r="B829">
        <v>9</v>
      </c>
    </row>
    <row r="830" spans="2:2" x14ac:dyDescent="0.45">
      <c r="B830">
        <v>7</v>
      </c>
    </row>
    <row r="831" spans="2:2" x14ac:dyDescent="0.45">
      <c r="B831">
        <v>7</v>
      </c>
    </row>
    <row r="832" spans="2:2" x14ac:dyDescent="0.45">
      <c r="B832">
        <v>4</v>
      </c>
    </row>
    <row r="833" spans="2:2" x14ac:dyDescent="0.45">
      <c r="B833">
        <v>1914</v>
      </c>
    </row>
    <row r="834" spans="2:2" x14ac:dyDescent="0.45">
      <c r="B834">
        <v>0</v>
      </c>
    </row>
    <row r="835" spans="2:2" x14ac:dyDescent="0.45">
      <c r="B835">
        <v>8</v>
      </c>
    </row>
    <row r="836" spans="2:2" x14ac:dyDescent="0.45">
      <c r="B836">
        <v>22</v>
      </c>
    </row>
    <row r="837" spans="2:2" x14ac:dyDescent="0.45">
      <c r="B837">
        <v>23</v>
      </c>
    </row>
    <row r="838" spans="2:2" x14ac:dyDescent="0.45">
      <c r="B838">
        <v>11</v>
      </c>
    </row>
    <row r="839" spans="2:2" x14ac:dyDescent="0.45">
      <c r="B839">
        <v>14</v>
      </c>
    </row>
    <row r="840" spans="2:2" x14ac:dyDescent="0.45">
      <c r="B840">
        <v>3</v>
      </c>
    </row>
    <row r="841" spans="2:2" x14ac:dyDescent="0.45">
      <c r="B841">
        <v>4</v>
      </c>
    </row>
    <row r="842" spans="2:2" x14ac:dyDescent="0.45">
      <c r="B842">
        <v>1</v>
      </c>
    </row>
    <row r="843" spans="2:2" x14ac:dyDescent="0.45">
      <c r="B843">
        <v>1212</v>
      </c>
    </row>
    <row r="844" spans="2:2" x14ac:dyDescent="0.45">
      <c r="B844">
        <v>48</v>
      </c>
    </row>
    <row r="845" spans="2:2" x14ac:dyDescent="0.45">
      <c r="B845">
        <v>151</v>
      </c>
    </row>
    <row r="846" spans="2:2" x14ac:dyDescent="0.45">
      <c r="B846">
        <v>161</v>
      </c>
    </row>
    <row r="847" spans="2:2" x14ac:dyDescent="0.45">
      <c r="B847">
        <v>137</v>
      </c>
    </row>
    <row r="848" spans="2:2" x14ac:dyDescent="0.45">
      <c r="B848">
        <v>130</v>
      </c>
    </row>
    <row r="849" spans="2:2" x14ac:dyDescent="0.45">
      <c r="B849">
        <v>75</v>
      </c>
    </row>
    <row r="850" spans="2:2" x14ac:dyDescent="0.45">
      <c r="B850">
        <v>49</v>
      </c>
    </row>
    <row r="851" spans="2:2" x14ac:dyDescent="0.45">
      <c r="B851">
        <v>30</v>
      </c>
    </row>
    <row r="852" spans="2:2" x14ac:dyDescent="0.45">
      <c r="B852">
        <v>7</v>
      </c>
    </row>
    <row r="853" spans="2:2" x14ac:dyDescent="0.45">
      <c r="B853">
        <v>1879</v>
      </c>
    </row>
    <row r="854" spans="2:2" x14ac:dyDescent="0.45">
      <c r="B854">
        <v>6</v>
      </c>
    </row>
    <row r="855" spans="2:2" x14ac:dyDescent="0.45">
      <c r="B855">
        <v>16</v>
      </c>
    </row>
    <row r="856" spans="2:2" x14ac:dyDescent="0.45">
      <c r="B856">
        <v>23</v>
      </c>
    </row>
    <row r="857" spans="2:2" x14ac:dyDescent="0.45">
      <c r="B857">
        <v>20</v>
      </c>
    </row>
    <row r="858" spans="2:2" x14ac:dyDescent="0.45">
      <c r="B858">
        <v>28</v>
      </c>
    </row>
    <row r="859" spans="2:2" x14ac:dyDescent="0.45">
      <c r="B859">
        <v>10</v>
      </c>
    </row>
    <row r="860" spans="2:2" x14ac:dyDescent="0.45">
      <c r="B860">
        <v>9</v>
      </c>
    </row>
    <row r="861" spans="2:2" x14ac:dyDescent="0.45">
      <c r="B861">
        <v>6</v>
      </c>
    </row>
    <row r="862" spans="2:2" x14ac:dyDescent="0.45">
      <c r="B862">
        <v>3</v>
      </c>
    </row>
    <row r="863" spans="2:2" x14ac:dyDescent="0.45">
      <c r="B863">
        <v>1879</v>
      </c>
    </row>
    <row r="864" spans="2:2" x14ac:dyDescent="0.45">
      <c r="B864">
        <v>12</v>
      </c>
    </row>
    <row r="865" spans="2:2" x14ac:dyDescent="0.45">
      <c r="B865">
        <v>21</v>
      </c>
    </row>
    <row r="866" spans="2:2" x14ac:dyDescent="0.45">
      <c r="B866">
        <v>23</v>
      </c>
    </row>
    <row r="867" spans="2:2" x14ac:dyDescent="0.45">
      <c r="B867">
        <v>19</v>
      </c>
    </row>
    <row r="868" spans="2:2" x14ac:dyDescent="0.45">
      <c r="B868">
        <v>23</v>
      </c>
    </row>
    <row r="869" spans="2:2" x14ac:dyDescent="0.45">
      <c r="B869">
        <v>8</v>
      </c>
    </row>
    <row r="870" spans="2:2" x14ac:dyDescent="0.45">
      <c r="B870">
        <v>7</v>
      </c>
    </row>
    <row r="871" spans="2:2" x14ac:dyDescent="0.45">
      <c r="B871">
        <v>4</v>
      </c>
    </row>
    <row r="872" spans="2:2" x14ac:dyDescent="0.45">
      <c r="B872">
        <v>4</v>
      </c>
    </row>
    <row r="873" spans="2:2" x14ac:dyDescent="0.45">
      <c r="B873">
        <v>425</v>
      </c>
    </row>
    <row r="874" spans="2:2" x14ac:dyDescent="0.45">
      <c r="B874">
        <v>0</v>
      </c>
    </row>
    <row r="875" spans="2:2" x14ac:dyDescent="0.45">
      <c r="B875">
        <v>375</v>
      </c>
    </row>
    <row r="876" spans="2:2" x14ac:dyDescent="0.45">
      <c r="B876">
        <v>302</v>
      </c>
    </row>
    <row r="877" spans="2:2" x14ac:dyDescent="0.45">
      <c r="B877">
        <v>254</v>
      </c>
    </row>
    <row r="878" spans="2:2" x14ac:dyDescent="0.45">
      <c r="B878">
        <v>218</v>
      </c>
    </row>
    <row r="879" spans="2:2" x14ac:dyDescent="0.45">
      <c r="B879">
        <v>164</v>
      </c>
    </row>
    <row r="880" spans="2:2" x14ac:dyDescent="0.45">
      <c r="B880">
        <v>139</v>
      </c>
    </row>
    <row r="881" spans="2:2" x14ac:dyDescent="0.45">
      <c r="B881">
        <v>86</v>
      </c>
    </row>
    <row r="882" spans="2:2" x14ac:dyDescent="0.45">
      <c r="B882">
        <v>37</v>
      </c>
    </row>
    <row r="883" spans="2:2" x14ac:dyDescent="0.45">
      <c r="B883">
        <v>1820</v>
      </c>
    </row>
    <row r="884" spans="2:2" x14ac:dyDescent="0.45">
      <c r="B884">
        <v>5</v>
      </c>
    </row>
    <row r="885" spans="2:2" x14ac:dyDescent="0.45">
      <c r="B885">
        <v>29</v>
      </c>
    </row>
    <row r="886" spans="2:2" x14ac:dyDescent="0.45">
      <c r="B886">
        <v>34</v>
      </c>
    </row>
    <row r="887" spans="2:2" x14ac:dyDescent="0.45">
      <c r="B887">
        <v>30</v>
      </c>
    </row>
    <row r="888" spans="2:2" x14ac:dyDescent="0.45">
      <c r="B888">
        <v>27</v>
      </c>
    </row>
    <row r="889" spans="2:2" x14ac:dyDescent="0.45">
      <c r="B889">
        <v>28</v>
      </c>
    </row>
    <row r="890" spans="2:2" x14ac:dyDescent="0.45">
      <c r="B890">
        <v>10</v>
      </c>
    </row>
    <row r="891" spans="2:2" x14ac:dyDescent="0.45">
      <c r="B891">
        <v>13</v>
      </c>
    </row>
    <row r="892" spans="2:2" x14ac:dyDescent="0.45">
      <c r="B892">
        <v>4</v>
      </c>
    </row>
    <row r="893" spans="2:2" x14ac:dyDescent="0.45">
      <c r="B893">
        <v>1904</v>
      </c>
    </row>
    <row r="894" spans="2:2" x14ac:dyDescent="0.45">
      <c r="B894">
        <v>12</v>
      </c>
    </row>
    <row r="895" spans="2:2" x14ac:dyDescent="0.45">
      <c r="B895">
        <v>24</v>
      </c>
    </row>
    <row r="896" spans="2:2" x14ac:dyDescent="0.45">
      <c r="B896">
        <v>13</v>
      </c>
    </row>
    <row r="897" spans="2:2" x14ac:dyDescent="0.45">
      <c r="B897">
        <v>17</v>
      </c>
    </row>
    <row r="898" spans="2:2" x14ac:dyDescent="0.45">
      <c r="B898">
        <v>11</v>
      </c>
    </row>
    <row r="899" spans="2:2" x14ac:dyDescent="0.45">
      <c r="B899">
        <v>6</v>
      </c>
    </row>
    <row r="900" spans="2:2" x14ac:dyDescent="0.45">
      <c r="B900">
        <v>2</v>
      </c>
    </row>
    <row r="901" spans="2:2" x14ac:dyDescent="0.45">
      <c r="B901">
        <v>5</v>
      </c>
    </row>
    <row r="902" spans="2:2" x14ac:dyDescent="0.45">
      <c r="B902">
        <v>6</v>
      </c>
    </row>
    <row r="903" spans="2:2" x14ac:dyDescent="0.45">
      <c r="B903">
        <v>1997</v>
      </c>
    </row>
    <row r="904" spans="2:2" x14ac:dyDescent="0.45">
      <c r="B904">
        <v>0</v>
      </c>
    </row>
    <row r="905" spans="2:2" x14ac:dyDescent="0.45">
      <c r="B905">
        <v>0</v>
      </c>
    </row>
    <row r="906" spans="2:2" x14ac:dyDescent="0.45">
      <c r="B906">
        <v>0</v>
      </c>
    </row>
    <row r="907" spans="2:2" x14ac:dyDescent="0.45">
      <c r="B907">
        <v>0</v>
      </c>
    </row>
    <row r="908" spans="2:2" x14ac:dyDescent="0.45">
      <c r="B908">
        <v>1</v>
      </c>
    </row>
    <row r="909" spans="2:2" x14ac:dyDescent="0.45">
      <c r="B909">
        <v>0</v>
      </c>
    </row>
    <row r="910" spans="2:2" x14ac:dyDescent="0.45">
      <c r="B910">
        <v>0</v>
      </c>
    </row>
    <row r="911" spans="2:2" x14ac:dyDescent="0.45">
      <c r="B911">
        <v>1</v>
      </c>
    </row>
    <row r="912" spans="2:2" x14ac:dyDescent="0.45">
      <c r="B912">
        <v>1</v>
      </c>
    </row>
    <row r="913" spans="2:2" x14ac:dyDescent="0.45">
      <c r="B913">
        <v>1998</v>
      </c>
    </row>
    <row r="914" spans="2:2" x14ac:dyDescent="0.45">
      <c r="B914">
        <v>0</v>
      </c>
    </row>
    <row r="915" spans="2:2" x14ac:dyDescent="0.45">
      <c r="B915">
        <v>0</v>
      </c>
    </row>
    <row r="916" spans="2:2" x14ac:dyDescent="0.45">
      <c r="B916">
        <v>1</v>
      </c>
    </row>
    <row r="917" spans="2:2" x14ac:dyDescent="0.45">
      <c r="B917">
        <v>0</v>
      </c>
    </row>
    <row r="918" spans="2:2" x14ac:dyDescent="0.45">
      <c r="B918">
        <v>0</v>
      </c>
    </row>
    <row r="919" spans="2:2" x14ac:dyDescent="0.45">
      <c r="B919">
        <v>0</v>
      </c>
    </row>
    <row r="920" spans="2:2" x14ac:dyDescent="0.45">
      <c r="B920">
        <v>0</v>
      </c>
    </row>
    <row r="921" spans="2:2" x14ac:dyDescent="0.45">
      <c r="B921">
        <v>0</v>
      </c>
    </row>
    <row r="922" spans="2:2" x14ac:dyDescent="0.45">
      <c r="B922">
        <v>1</v>
      </c>
    </row>
    <row r="923" spans="2:2" x14ac:dyDescent="0.45">
      <c r="B923">
        <v>1895</v>
      </c>
    </row>
    <row r="924" spans="2:2" x14ac:dyDescent="0.45">
      <c r="B924">
        <v>0</v>
      </c>
    </row>
    <row r="925" spans="2:2" x14ac:dyDescent="0.45">
      <c r="B925">
        <v>0</v>
      </c>
    </row>
    <row r="926" spans="2:2" x14ac:dyDescent="0.45">
      <c r="B926">
        <v>0</v>
      </c>
    </row>
    <row r="927" spans="2:2" x14ac:dyDescent="0.45">
      <c r="B927">
        <v>5</v>
      </c>
    </row>
    <row r="928" spans="2:2" x14ac:dyDescent="0.45">
      <c r="B928">
        <v>22</v>
      </c>
    </row>
    <row r="929" spans="2:2" x14ac:dyDescent="0.45">
      <c r="B929">
        <v>24</v>
      </c>
    </row>
    <row r="930" spans="2:2" x14ac:dyDescent="0.45">
      <c r="B930">
        <v>22</v>
      </c>
    </row>
    <row r="931" spans="2:2" x14ac:dyDescent="0.45">
      <c r="B931">
        <v>19</v>
      </c>
    </row>
    <row r="932" spans="2:2" x14ac:dyDescent="0.45">
      <c r="B932">
        <v>13</v>
      </c>
    </row>
    <row r="933" spans="2:2" x14ac:dyDescent="0.45">
      <c r="B933">
        <v>1622</v>
      </c>
    </row>
    <row r="934" spans="2:2" x14ac:dyDescent="0.45">
      <c r="B934">
        <v>65</v>
      </c>
    </row>
    <row r="935" spans="2:2" x14ac:dyDescent="0.45">
      <c r="B935">
        <v>74</v>
      </c>
    </row>
    <row r="936" spans="2:2" x14ac:dyDescent="0.45">
      <c r="B936">
        <v>62</v>
      </c>
    </row>
    <row r="937" spans="2:2" x14ac:dyDescent="0.45">
      <c r="B937">
        <v>54</v>
      </c>
    </row>
    <row r="938" spans="2:2" x14ac:dyDescent="0.45">
      <c r="B938">
        <v>47</v>
      </c>
    </row>
    <row r="939" spans="2:2" x14ac:dyDescent="0.45">
      <c r="B939">
        <v>30</v>
      </c>
    </row>
    <row r="940" spans="2:2" x14ac:dyDescent="0.45">
      <c r="B940">
        <v>16</v>
      </c>
    </row>
    <row r="941" spans="2:2" x14ac:dyDescent="0.45">
      <c r="B941">
        <v>15</v>
      </c>
    </row>
    <row r="942" spans="2:2" x14ac:dyDescent="0.45">
      <c r="B942">
        <v>15</v>
      </c>
    </row>
    <row r="943" spans="2:2" x14ac:dyDescent="0.45">
      <c r="B943">
        <v>1405</v>
      </c>
    </row>
    <row r="944" spans="2:2" x14ac:dyDescent="0.45">
      <c r="B944">
        <v>69</v>
      </c>
    </row>
    <row r="945" spans="2:2" x14ac:dyDescent="0.45">
      <c r="B945">
        <v>96</v>
      </c>
    </row>
    <row r="946" spans="2:2" x14ac:dyDescent="0.45">
      <c r="B946">
        <v>117</v>
      </c>
    </row>
    <row r="947" spans="2:2" x14ac:dyDescent="0.45">
      <c r="B947">
        <v>96</v>
      </c>
    </row>
    <row r="948" spans="2:2" x14ac:dyDescent="0.45">
      <c r="B948">
        <v>67</v>
      </c>
    </row>
    <row r="949" spans="2:2" x14ac:dyDescent="0.45">
      <c r="B949">
        <v>60</v>
      </c>
    </row>
    <row r="950" spans="2:2" x14ac:dyDescent="0.45">
      <c r="B950">
        <v>40</v>
      </c>
    </row>
    <row r="951" spans="2:2" x14ac:dyDescent="0.45">
      <c r="B951">
        <v>36</v>
      </c>
    </row>
    <row r="952" spans="2:2" x14ac:dyDescent="0.45">
      <c r="B952">
        <v>14</v>
      </c>
    </row>
    <row r="953" spans="2:2" x14ac:dyDescent="0.45">
      <c r="B953">
        <v>1409</v>
      </c>
    </row>
    <row r="954" spans="2:2" x14ac:dyDescent="0.45">
      <c r="B954">
        <v>94</v>
      </c>
    </row>
    <row r="955" spans="2:2" x14ac:dyDescent="0.45">
      <c r="B955">
        <v>155</v>
      </c>
    </row>
    <row r="956" spans="2:2" x14ac:dyDescent="0.45">
      <c r="B956">
        <v>122</v>
      </c>
    </row>
    <row r="957" spans="2:2" x14ac:dyDescent="0.45">
      <c r="B957">
        <v>82</v>
      </c>
    </row>
    <row r="958" spans="2:2" x14ac:dyDescent="0.45">
      <c r="B958">
        <v>67</v>
      </c>
    </row>
    <row r="959" spans="2:2" x14ac:dyDescent="0.45">
      <c r="B959">
        <v>44</v>
      </c>
    </row>
    <row r="960" spans="2:2" x14ac:dyDescent="0.45">
      <c r="B960">
        <v>18</v>
      </c>
    </row>
    <row r="961" spans="2:2" x14ac:dyDescent="0.45">
      <c r="B961">
        <v>7</v>
      </c>
    </row>
    <row r="962" spans="2:2" x14ac:dyDescent="0.45">
      <c r="B962">
        <v>2</v>
      </c>
    </row>
    <row r="963" spans="2:2" x14ac:dyDescent="0.45">
      <c r="B963">
        <v>1904</v>
      </c>
    </row>
    <row r="964" spans="2:2" x14ac:dyDescent="0.45">
      <c r="B964">
        <v>9</v>
      </c>
    </row>
    <row r="965" spans="2:2" x14ac:dyDescent="0.45">
      <c r="B965">
        <v>20</v>
      </c>
    </row>
    <row r="966" spans="2:2" x14ac:dyDescent="0.45">
      <c r="B966">
        <v>15</v>
      </c>
    </row>
    <row r="967" spans="2:2" x14ac:dyDescent="0.45">
      <c r="B967">
        <v>18</v>
      </c>
    </row>
    <row r="968" spans="2:2" x14ac:dyDescent="0.45">
      <c r="B968">
        <v>12</v>
      </c>
    </row>
    <row r="969" spans="2:2" x14ac:dyDescent="0.45">
      <c r="B969">
        <v>11</v>
      </c>
    </row>
    <row r="970" spans="2:2" x14ac:dyDescent="0.45">
      <c r="B970">
        <v>5</v>
      </c>
    </row>
    <row r="971" spans="2:2" x14ac:dyDescent="0.45">
      <c r="B971">
        <v>3</v>
      </c>
    </row>
    <row r="972" spans="2:2" x14ac:dyDescent="0.45">
      <c r="B972">
        <v>3</v>
      </c>
    </row>
    <row r="973" spans="2:2" x14ac:dyDescent="0.45">
      <c r="B973">
        <v>1974</v>
      </c>
    </row>
    <row r="974" spans="2:2" x14ac:dyDescent="0.45">
      <c r="B974">
        <v>0</v>
      </c>
    </row>
    <row r="975" spans="2:2" x14ac:dyDescent="0.45">
      <c r="B975">
        <v>0</v>
      </c>
    </row>
    <row r="976" spans="2:2" x14ac:dyDescent="0.45">
      <c r="B976">
        <v>1</v>
      </c>
    </row>
    <row r="977" spans="2:2" x14ac:dyDescent="0.45">
      <c r="B977">
        <v>0</v>
      </c>
    </row>
    <row r="978" spans="2:2" x14ac:dyDescent="0.45">
      <c r="B978">
        <v>0</v>
      </c>
    </row>
    <row r="979" spans="2:2" x14ac:dyDescent="0.45">
      <c r="B979">
        <v>1</v>
      </c>
    </row>
    <row r="980" spans="2:2" x14ac:dyDescent="0.45">
      <c r="B980">
        <v>7</v>
      </c>
    </row>
    <row r="981" spans="2:2" x14ac:dyDescent="0.45">
      <c r="B981">
        <v>8</v>
      </c>
    </row>
    <row r="982" spans="2:2" x14ac:dyDescent="0.45">
      <c r="B982">
        <v>9</v>
      </c>
    </row>
    <row r="983" spans="2:2" x14ac:dyDescent="0.45">
      <c r="B983">
        <v>1418</v>
      </c>
    </row>
    <row r="984" spans="2:2" x14ac:dyDescent="0.45">
      <c r="B984">
        <v>46</v>
      </c>
    </row>
    <row r="985" spans="2:2" x14ac:dyDescent="0.45">
      <c r="B985">
        <v>133</v>
      </c>
    </row>
    <row r="986" spans="2:2" x14ac:dyDescent="0.45">
      <c r="B986">
        <v>138</v>
      </c>
    </row>
    <row r="987" spans="2:2" x14ac:dyDescent="0.45">
      <c r="B987">
        <v>96</v>
      </c>
    </row>
    <row r="988" spans="2:2" x14ac:dyDescent="0.45">
      <c r="B988">
        <v>76</v>
      </c>
    </row>
    <row r="989" spans="2:2" x14ac:dyDescent="0.45">
      <c r="B989">
        <v>49</v>
      </c>
    </row>
    <row r="990" spans="2:2" x14ac:dyDescent="0.45">
      <c r="B990">
        <v>25</v>
      </c>
    </row>
    <row r="991" spans="2:2" x14ac:dyDescent="0.45">
      <c r="B991">
        <v>9</v>
      </c>
    </row>
    <row r="992" spans="2:2" x14ac:dyDescent="0.45">
      <c r="B992">
        <v>10</v>
      </c>
    </row>
    <row r="993" spans="2:2" x14ac:dyDescent="0.45">
      <c r="B993">
        <v>1783</v>
      </c>
    </row>
    <row r="994" spans="2:2" x14ac:dyDescent="0.45">
      <c r="B994">
        <v>25</v>
      </c>
    </row>
    <row r="995" spans="2:2" x14ac:dyDescent="0.45">
      <c r="B995">
        <v>44</v>
      </c>
    </row>
    <row r="996" spans="2:2" x14ac:dyDescent="0.45">
      <c r="B996">
        <v>40</v>
      </c>
    </row>
    <row r="997" spans="2:2" x14ac:dyDescent="0.45">
      <c r="B997">
        <v>42</v>
      </c>
    </row>
    <row r="998" spans="2:2" x14ac:dyDescent="0.45">
      <c r="B998">
        <v>16</v>
      </c>
    </row>
    <row r="999" spans="2:2" x14ac:dyDescent="0.45">
      <c r="B999">
        <v>27</v>
      </c>
    </row>
    <row r="1000" spans="2:2" x14ac:dyDescent="0.45">
      <c r="B1000">
        <v>9</v>
      </c>
    </row>
    <row r="1001" spans="2:2" x14ac:dyDescent="0.45">
      <c r="B1001">
        <v>8</v>
      </c>
    </row>
    <row r="1002" spans="2:2" x14ac:dyDescent="0.45">
      <c r="B1002">
        <v>6</v>
      </c>
    </row>
    <row r="1003" spans="2:2" x14ac:dyDescent="0.45">
      <c r="B1003">
        <v>1888</v>
      </c>
    </row>
    <row r="1004" spans="2:2" x14ac:dyDescent="0.45">
      <c r="B1004">
        <v>16</v>
      </c>
    </row>
    <row r="1005" spans="2:2" x14ac:dyDescent="0.45">
      <c r="B1005">
        <v>32</v>
      </c>
    </row>
    <row r="1006" spans="2:2" x14ac:dyDescent="0.45">
      <c r="B1006">
        <v>21</v>
      </c>
    </row>
    <row r="1007" spans="2:2" x14ac:dyDescent="0.45">
      <c r="B1007">
        <v>10</v>
      </c>
    </row>
    <row r="1008" spans="2:2" x14ac:dyDescent="0.45">
      <c r="B1008">
        <v>18</v>
      </c>
    </row>
    <row r="1009" spans="2:2" x14ac:dyDescent="0.45">
      <c r="B1009">
        <v>5</v>
      </c>
    </row>
    <row r="1010" spans="2:2" x14ac:dyDescent="0.45">
      <c r="B1010">
        <v>5</v>
      </c>
    </row>
    <row r="1011" spans="2:2" x14ac:dyDescent="0.45">
      <c r="B1011">
        <v>2</v>
      </c>
    </row>
    <row r="1012" spans="2:2" x14ac:dyDescent="0.45">
      <c r="B1012">
        <v>3</v>
      </c>
    </row>
    <row r="1013" spans="2:2" x14ac:dyDescent="0.45">
      <c r="B1013">
        <v>620</v>
      </c>
    </row>
    <row r="1014" spans="2:2" x14ac:dyDescent="0.45">
      <c r="B1014">
        <v>198</v>
      </c>
    </row>
    <row r="1015" spans="2:2" x14ac:dyDescent="0.45">
      <c r="B1015">
        <v>304</v>
      </c>
    </row>
    <row r="1016" spans="2:2" x14ac:dyDescent="0.45">
      <c r="B1016">
        <v>235</v>
      </c>
    </row>
    <row r="1017" spans="2:2" x14ac:dyDescent="0.45">
      <c r="B1017">
        <v>186</v>
      </c>
    </row>
    <row r="1018" spans="2:2" x14ac:dyDescent="0.45">
      <c r="B1018">
        <v>168</v>
      </c>
    </row>
    <row r="1019" spans="2:2" x14ac:dyDescent="0.45">
      <c r="B1019">
        <v>128</v>
      </c>
    </row>
    <row r="1020" spans="2:2" x14ac:dyDescent="0.45">
      <c r="B1020">
        <v>83</v>
      </c>
    </row>
    <row r="1021" spans="2:2" x14ac:dyDescent="0.45">
      <c r="B1021">
        <v>46</v>
      </c>
    </row>
    <row r="1022" spans="2:2" x14ac:dyDescent="0.45">
      <c r="B1022">
        <v>32</v>
      </c>
    </row>
    <row r="1023" spans="2:2" x14ac:dyDescent="0.45">
      <c r="B1023">
        <v>1979</v>
      </c>
    </row>
    <row r="1024" spans="2:2" x14ac:dyDescent="0.45">
      <c r="B1024">
        <v>0</v>
      </c>
    </row>
    <row r="1025" spans="2:2" x14ac:dyDescent="0.45">
      <c r="B1025">
        <v>0</v>
      </c>
    </row>
    <row r="1026" spans="2:2" x14ac:dyDescent="0.45">
      <c r="B1026">
        <v>0</v>
      </c>
    </row>
    <row r="1027" spans="2:2" x14ac:dyDescent="0.45">
      <c r="B1027">
        <v>3</v>
      </c>
    </row>
    <row r="1028" spans="2:2" x14ac:dyDescent="0.45">
      <c r="B1028">
        <v>1</v>
      </c>
    </row>
    <row r="1029" spans="2:2" x14ac:dyDescent="0.45">
      <c r="B1029">
        <v>5</v>
      </c>
    </row>
    <row r="1030" spans="2:2" x14ac:dyDescent="0.45">
      <c r="B1030">
        <v>7</v>
      </c>
    </row>
    <row r="1031" spans="2:2" x14ac:dyDescent="0.45">
      <c r="B1031">
        <v>2</v>
      </c>
    </row>
    <row r="1032" spans="2:2" x14ac:dyDescent="0.45">
      <c r="B1032">
        <v>3</v>
      </c>
    </row>
    <row r="1033" spans="2:2" x14ac:dyDescent="0.45">
      <c r="B1033">
        <v>1407</v>
      </c>
    </row>
    <row r="1034" spans="2:2" x14ac:dyDescent="0.45">
      <c r="B1034">
        <v>45</v>
      </c>
    </row>
    <row r="1035" spans="2:2" x14ac:dyDescent="0.45">
      <c r="B1035">
        <v>80</v>
      </c>
    </row>
    <row r="1036" spans="2:2" x14ac:dyDescent="0.45">
      <c r="B1036">
        <v>119</v>
      </c>
    </row>
    <row r="1037" spans="2:2" x14ac:dyDescent="0.45">
      <c r="B1037">
        <v>113</v>
      </c>
    </row>
    <row r="1038" spans="2:2" x14ac:dyDescent="0.45">
      <c r="B1038">
        <v>94</v>
      </c>
    </row>
    <row r="1039" spans="2:2" x14ac:dyDescent="0.45">
      <c r="B1039">
        <v>69</v>
      </c>
    </row>
    <row r="1040" spans="2:2" x14ac:dyDescent="0.45">
      <c r="B1040">
        <v>47</v>
      </c>
    </row>
    <row r="1041" spans="2:2" x14ac:dyDescent="0.45">
      <c r="B1041">
        <v>20</v>
      </c>
    </row>
    <row r="1042" spans="2:2" x14ac:dyDescent="0.45">
      <c r="B1042">
        <v>6</v>
      </c>
    </row>
    <row r="1043" spans="2:2" x14ac:dyDescent="0.45">
      <c r="B1043">
        <v>1985</v>
      </c>
    </row>
    <row r="1044" spans="2:2" x14ac:dyDescent="0.45">
      <c r="B1044">
        <v>1</v>
      </c>
    </row>
    <row r="1045" spans="2:2" x14ac:dyDescent="0.45">
      <c r="B1045">
        <v>3</v>
      </c>
    </row>
    <row r="1046" spans="2:2" x14ac:dyDescent="0.45">
      <c r="B1046">
        <v>3</v>
      </c>
    </row>
    <row r="1047" spans="2:2" x14ac:dyDescent="0.45">
      <c r="B1047">
        <v>2</v>
      </c>
    </row>
    <row r="1048" spans="2:2" x14ac:dyDescent="0.45">
      <c r="B1048">
        <v>1</v>
      </c>
    </row>
    <row r="1049" spans="2:2" x14ac:dyDescent="0.45">
      <c r="B1049">
        <v>4</v>
      </c>
    </row>
    <row r="1050" spans="2:2" x14ac:dyDescent="0.45">
      <c r="B1050">
        <v>0</v>
      </c>
    </row>
    <row r="1051" spans="2:2" x14ac:dyDescent="0.45">
      <c r="B1051">
        <v>0</v>
      </c>
    </row>
    <row r="1052" spans="2:2" x14ac:dyDescent="0.45">
      <c r="B1052">
        <v>1</v>
      </c>
    </row>
    <row r="1053" spans="2:2" x14ac:dyDescent="0.45">
      <c r="B1053">
        <v>1791</v>
      </c>
    </row>
    <row r="1054" spans="2:2" x14ac:dyDescent="0.45">
      <c r="B1054">
        <v>0</v>
      </c>
    </row>
    <row r="1055" spans="2:2" x14ac:dyDescent="0.45">
      <c r="B1055">
        <v>1</v>
      </c>
    </row>
    <row r="1056" spans="2:2" x14ac:dyDescent="0.45">
      <c r="B1056">
        <v>6</v>
      </c>
    </row>
    <row r="1057" spans="2:2" x14ac:dyDescent="0.45">
      <c r="B1057">
        <v>30</v>
      </c>
    </row>
    <row r="1058" spans="2:2" x14ac:dyDescent="0.45">
      <c r="B1058">
        <v>47</v>
      </c>
    </row>
    <row r="1059" spans="2:2" x14ac:dyDescent="0.45">
      <c r="B1059">
        <v>43</v>
      </c>
    </row>
    <row r="1060" spans="2:2" x14ac:dyDescent="0.45">
      <c r="B1060">
        <v>50</v>
      </c>
    </row>
    <row r="1061" spans="2:2" x14ac:dyDescent="0.45">
      <c r="B1061">
        <v>26</v>
      </c>
    </row>
    <row r="1062" spans="2:2" x14ac:dyDescent="0.45">
      <c r="B1062">
        <v>6</v>
      </c>
    </row>
    <row r="1063" spans="2:2" x14ac:dyDescent="0.45">
      <c r="B1063">
        <v>1819</v>
      </c>
    </row>
    <row r="1064" spans="2:2" x14ac:dyDescent="0.45">
      <c r="B1064">
        <v>10</v>
      </c>
    </row>
    <row r="1065" spans="2:2" x14ac:dyDescent="0.45">
      <c r="B1065">
        <v>43</v>
      </c>
    </row>
    <row r="1066" spans="2:2" x14ac:dyDescent="0.45">
      <c r="B1066">
        <v>28</v>
      </c>
    </row>
    <row r="1067" spans="2:2" x14ac:dyDescent="0.45">
      <c r="B1067">
        <v>23</v>
      </c>
    </row>
    <row r="1068" spans="2:2" x14ac:dyDescent="0.45">
      <c r="B1068">
        <v>24</v>
      </c>
    </row>
    <row r="1069" spans="2:2" x14ac:dyDescent="0.45">
      <c r="B1069">
        <v>18</v>
      </c>
    </row>
    <row r="1070" spans="2:2" x14ac:dyDescent="0.45">
      <c r="B1070">
        <v>16</v>
      </c>
    </row>
    <row r="1071" spans="2:2" x14ac:dyDescent="0.45">
      <c r="B1071">
        <v>12</v>
      </c>
    </row>
    <row r="1072" spans="2:2" x14ac:dyDescent="0.45">
      <c r="B1072">
        <v>7</v>
      </c>
    </row>
    <row r="1073" spans="2:2" x14ac:dyDescent="0.45">
      <c r="B1073">
        <v>1975</v>
      </c>
    </row>
    <row r="1074" spans="2:2" x14ac:dyDescent="0.45">
      <c r="B1074">
        <v>0</v>
      </c>
    </row>
    <row r="1075" spans="2:2" x14ac:dyDescent="0.45">
      <c r="B1075">
        <v>0</v>
      </c>
    </row>
    <row r="1076" spans="2:2" x14ac:dyDescent="0.45">
      <c r="B1076">
        <v>4</v>
      </c>
    </row>
    <row r="1077" spans="2:2" x14ac:dyDescent="0.45">
      <c r="B1077">
        <v>9</v>
      </c>
    </row>
    <row r="1078" spans="2:2" x14ac:dyDescent="0.45">
      <c r="B1078">
        <v>2</v>
      </c>
    </row>
    <row r="1079" spans="2:2" x14ac:dyDescent="0.45">
      <c r="B1079">
        <v>4</v>
      </c>
    </row>
    <row r="1080" spans="2:2" x14ac:dyDescent="0.45">
      <c r="B1080">
        <v>2</v>
      </c>
    </row>
    <row r="1081" spans="2:2" x14ac:dyDescent="0.45">
      <c r="B1081">
        <v>2</v>
      </c>
    </row>
    <row r="1082" spans="2:2" x14ac:dyDescent="0.45">
      <c r="B1082">
        <v>2</v>
      </c>
    </row>
    <row r="1083" spans="2:2" x14ac:dyDescent="0.45">
      <c r="B1083">
        <v>1889</v>
      </c>
    </row>
    <row r="1084" spans="2:2" x14ac:dyDescent="0.45">
      <c r="B1084">
        <v>0</v>
      </c>
    </row>
    <row r="1085" spans="2:2" x14ac:dyDescent="0.45">
      <c r="B1085">
        <v>0</v>
      </c>
    </row>
    <row r="1086" spans="2:2" x14ac:dyDescent="0.45">
      <c r="B1086">
        <v>2</v>
      </c>
    </row>
    <row r="1087" spans="2:2" x14ac:dyDescent="0.45">
      <c r="B1087">
        <v>18</v>
      </c>
    </row>
    <row r="1088" spans="2:2" x14ac:dyDescent="0.45">
      <c r="B1088">
        <v>24</v>
      </c>
    </row>
    <row r="1089" spans="2:2" x14ac:dyDescent="0.45">
      <c r="B1089">
        <v>24</v>
      </c>
    </row>
    <row r="1090" spans="2:2" x14ac:dyDescent="0.45">
      <c r="B1090">
        <v>19</v>
      </c>
    </row>
    <row r="1091" spans="2:2" x14ac:dyDescent="0.45">
      <c r="B1091">
        <v>15</v>
      </c>
    </row>
    <row r="1092" spans="2:2" x14ac:dyDescent="0.45">
      <c r="B1092">
        <v>9</v>
      </c>
    </row>
    <row r="1093" spans="2:2" x14ac:dyDescent="0.45">
      <c r="B1093">
        <v>1603</v>
      </c>
    </row>
    <row r="1094" spans="2:2" x14ac:dyDescent="0.45">
      <c r="B1094">
        <v>0</v>
      </c>
    </row>
    <row r="1095" spans="2:2" x14ac:dyDescent="0.45">
      <c r="B1095">
        <v>0</v>
      </c>
    </row>
    <row r="1096" spans="2:2" x14ac:dyDescent="0.45">
      <c r="B1096">
        <v>59</v>
      </c>
    </row>
    <row r="1097" spans="2:2" x14ac:dyDescent="0.45">
      <c r="B1097">
        <v>93</v>
      </c>
    </row>
    <row r="1098" spans="2:2" x14ac:dyDescent="0.45">
      <c r="B1098">
        <v>121</v>
      </c>
    </row>
    <row r="1099" spans="2:2" x14ac:dyDescent="0.45">
      <c r="B1099">
        <v>79</v>
      </c>
    </row>
    <row r="1100" spans="2:2" x14ac:dyDescent="0.45">
      <c r="B1100">
        <v>30</v>
      </c>
    </row>
    <row r="1101" spans="2:2" x14ac:dyDescent="0.45">
      <c r="B1101">
        <v>13</v>
      </c>
    </row>
    <row r="1102" spans="2:2" x14ac:dyDescent="0.45">
      <c r="B1102">
        <v>2</v>
      </c>
    </row>
    <row r="1103" spans="2:2" x14ac:dyDescent="0.45">
      <c r="B1103">
        <v>1974</v>
      </c>
    </row>
    <row r="1104" spans="2:2" x14ac:dyDescent="0.45">
      <c r="B1104">
        <v>0</v>
      </c>
    </row>
    <row r="1105" spans="2:2" x14ac:dyDescent="0.45">
      <c r="B1105">
        <v>0</v>
      </c>
    </row>
    <row r="1106" spans="2:2" x14ac:dyDescent="0.45">
      <c r="B1106">
        <v>0</v>
      </c>
    </row>
    <row r="1107" spans="2:2" x14ac:dyDescent="0.45">
      <c r="B1107">
        <v>0</v>
      </c>
    </row>
    <row r="1108" spans="2:2" x14ac:dyDescent="0.45">
      <c r="B1108">
        <v>4</v>
      </c>
    </row>
    <row r="1109" spans="2:2" x14ac:dyDescent="0.45">
      <c r="B1109">
        <v>11</v>
      </c>
    </row>
    <row r="1110" spans="2:2" x14ac:dyDescent="0.45">
      <c r="B1110">
        <v>5</v>
      </c>
    </row>
    <row r="1111" spans="2:2" x14ac:dyDescent="0.45">
      <c r="B1111">
        <v>1</v>
      </c>
    </row>
    <row r="1112" spans="2:2" x14ac:dyDescent="0.45">
      <c r="B1112">
        <v>5</v>
      </c>
    </row>
    <row r="1113" spans="2:2" x14ac:dyDescent="0.45">
      <c r="B1113">
        <v>1819</v>
      </c>
    </row>
    <row r="1114" spans="2:2" x14ac:dyDescent="0.45">
      <c r="B1114">
        <v>49</v>
      </c>
    </row>
    <row r="1115" spans="2:2" x14ac:dyDescent="0.45">
      <c r="B1115">
        <v>48</v>
      </c>
    </row>
    <row r="1116" spans="2:2" x14ac:dyDescent="0.45">
      <c r="B1116">
        <v>36</v>
      </c>
    </row>
    <row r="1117" spans="2:2" x14ac:dyDescent="0.45">
      <c r="B1117">
        <v>18</v>
      </c>
    </row>
    <row r="1118" spans="2:2" x14ac:dyDescent="0.45">
      <c r="B1118">
        <v>11</v>
      </c>
    </row>
    <row r="1119" spans="2:2" x14ac:dyDescent="0.45">
      <c r="B1119">
        <v>8</v>
      </c>
    </row>
    <row r="1120" spans="2:2" x14ac:dyDescent="0.45">
      <c r="B1120">
        <v>4</v>
      </c>
    </row>
    <row r="1121" spans="2:2" x14ac:dyDescent="0.45">
      <c r="B1121">
        <v>4</v>
      </c>
    </row>
    <row r="1122" spans="2:2" x14ac:dyDescent="0.45">
      <c r="B1122">
        <v>3</v>
      </c>
    </row>
    <row r="1123" spans="2:2" x14ac:dyDescent="0.45">
      <c r="B1123">
        <v>1982</v>
      </c>
    </row>
    <row r="1124" spans="2:2" x14ac:dyDescent="0.45">
      <c r="B1124">
        <v>0</v>
      </c>
    </row>
    <row r="1125" spans="2:2" x14ac:dyDescent="0.45">
      <c r="B1125">
        <v>0</v>
      </c>
    </row>
    <row r="1126" spans="2:2" x14ac:dyDescent="0.45">
      <c r="B1126">
        <v>0</v>
      </c>
    </row>
    <row r="1127" spans="2:2" x14ac:dyDescent="0.45">
      <c r="B1127">
        <v>4</v>
      </c>
    </row>
    <row r="1128" spans="2:2" x14ac:dyDescent="0.45">
      <c r="B1128">
        <v>3</v>
      </c>
    </row>
    <row r="1129" spans="2:2" x14ac:dyDescent="0.45">
      <c r="B1129">
        <v>4</v>
      </c>
    </row>
    <row r="1130" spans="2:2" x14ac:dyDescent="0.45">
      <c r="B1130">
        <v>4</v>
      </c>
    </row>
    <row r="1131" spans="2:2" x14ac:dyDescent="0.45">
      <c r="B1131">
        <v>1</v>
      </c>
    </row>
    <row r="1132" spans="2:2" x14ac:dyDescent="0.45">
      <c r="B1132">
        <v>2</v>
      </c>
    </row>
    <row r="1133" spans="2:2" x14ac:dyDescent="0.45">
      <c r="B1133">
        <v>1407</v>
      </c>
    </row>
    <row r="1134" spans="2:2" x14ac:dyDescent="0.45">
      <c r="B1134">
        <v>0</v>
      </c>
    </row>
    <row r="1135" spans="2:2" x14ac:dyDescent="0.45">
      <c r="B1135">
        <v>0</v>
      </c>
    </row>
    <row r="1136" spans="2:2" x14ac:dyDescent="0.45">
      <c r="B1136">
        <v>3</v>
      </c>
    </row>
    <row r="1137" spans="2:2" x14ac:dyDescent="0.45">
      <c r="B1137">
        <v>97</v>
      </c>
    </row>
    <row r="1138" spans="2:2" x14ac:dyDescent="0.45">
      <c r="B1138">
        <v>150</v>
      </c>
    </row>
    <row r="1139" spans="2:2" x14ac:dyDescent="0.45">
      <c r="B1139">
        <v>157</v>
      </c>
    </row>
    <row r="1140" spans="2:2" x14ac:dyDescent="0.45">
      <c r="B1140">
        <v>97</v>
      </c>
    </row>
    <row r="1141" spans="2:2" x14ac:dyDescent="0.45">
      <c r="B1141">
        <v>66</v>
      </c>
    </row>
    <row r="1142" spans="2:2" x14ac:dyDescent="0.45">
      <c r="B1142">
        <v>23</v>
      </c>
    </row>
    <row r="1143" spans="2:2" x14ac:dyDescent="0.45">
      <c r="B1143">
        <v>1906</v>
      </c>
    </row>
    <row r="1144" spans="2:2" x14ac:dyDescent="0.45">
      <c r="B1144">
        <v>0</v>
      </c>
    </row>
    <row r="1145" spans="2:2" x14ac:dyDescent="0.45">
      <c r="B1145">
        <v>0</v>
      </c>
    </row>
    <row r="1146" spans="2:2" x14ac:dyDescent="0.45">
      <c r="B1146">
        <v>0</v>
      </c>
    </row>
    <row r="1147" spans="2:2" x14ac:dyDescent="0.45">
      <c r="B1147">
        <v>0</v>
      </c>
    </row>
    <row r="1148" spans="2:2" x14ac:dyDescent="0.45">
      <c r="B1148">
        <v>36</v>
      </c>
    </row>
    <row r="1149" spans="2:2" x14ac:dyDescent="0.45">
      <c r="B1149">
        <v>42</v>
      </c>
    </row>
    <row r="1150" spans="2:2" x14ac:dyDescent="0.45">
      <c r="B1150">
        <v>11</v>
      </c>
    </row>
    <row r="1151" spans="2:2" x14ac:dyDescent="0.45">
      <c r="B1151">
        <v>4</v>
      </c>
    </row>
    <row r="1152" spans="2:2" x14ac:dyDescent="0.45">
      <c r="B1152">
        <v>1</v>
      </c>
    </row>
    <row r="1153" spans="2:2" x14ac:dyDescent="0.45">
      <c r="B1153">
        <v>1587</v>
      </c>
    </row>
    <row r="1154" spans="2:2" x14ac:dyDescent="0.45">
      <c r="B1154">
        <v>0</v>
      </c>
    </row>
    <row r="1155" spans="2:2" x14ac:dyDescent="0.45">
      <c r="B1155">
        <v>18</v>
      </c>
    </row>
    <row r="1156" spans="2:2" x14ac:dyDescent="0.45">
      <c r="B1156">
        <v>67</v>
      </c>
    </row>
    <row r="1157" spans="2:2" x14ac:dyDescent="0.45">
      <c r="B1157">
        <v>94</v>
      </c>
    </row>
    <row r="1158" spans="2:2" x14ac:dyDescent="0.45">
      <c r="B1158">
        <v>71</v>
      </c>
    </row>
    <row r="1159" spans="2:2" x14ac:dyDescent="0.45">
      <c r="B1159">
        <v>66</v>
      </c>
    </row>
    <row r="1160" spans="2:2" x14ac:dyDescent="0.45">
      <c r="B1160">
        <v>53</v>
      </c>
    </row>
    <row r="1161" spans="2:2" x14ac:dyDescent="0.45">
      <c r="B1161">
        <v>33</v>
      </c>
    </row>
    <row r="1162" spans="2:2" x14ac:dyDescent="0.45">
      <c r="B1162">
        <v>11</v>
      </c>
    </row>
    <row r="1163" spans="2:2" x14ac:dyDescent="0.45">
      <c r="B1163">
        <v>1040</v>
      </c>
    </row>
    <row r="1164" spans="2:2" x14ac:dyDescent="0.45">
      <c r="B1164">
        <v>0</v>
      </c>
    </row>
    <row r="1165" spans="2:2" x14ac:dyDescent="0.45">
      <c r="B1165">
        <v>0</v>
      </c>
    </row>
    <row r="1166" spans="2:2" x14ac:dyDescent="0.45">
      <c r="B1166">
        <v>56</v>
      </c>
    </row>
    <row r="1167" spans="2:2" x14ac:dyDescent="0.45">
      <c r="B1167">
        <v>254</v>
      </c>
    </row>
    <row r="1168" spans="2:2" x14ac:dyDescent="0.45">
      <c r="B1168">
        <v>222</v>
      </c>
    </row>
    <row r="1169" spans="2:2" x14ac:dyDescent="0.45">
      <c r="B1169">
        <v>196</v>
      </c>
    </row>
    <row r="1170" spans="2:2" x14ac:dyDescent="0.45">
      <c r="B1170">
        <v>128</v>
      </c>
    </row>
    <row r="1171" spans="2:2" x14ac:dyDescent="0.45">
      <c r="B1171">
        <v>80</v>
      </c>
    </row>
    <row r="1172" spans="2:2" x14ac:dyDescent="0.45">
      <c r="B1172">
        <v>24</v>
      </c>
    </row>
    <row r="1173" spans="2:2" x14ac:dyDescent="0.45">
      <c r="B1173">
        <v>1803</v>
      </c>
    </row>
    <row r="1174" spans="2:2" x14ac:dyDescent="0.45">
      <c r="B1174">
        <v>0</v>
      </c>
    </row>
    <row r="1175" spans="2:2" x14ac:dyDescent="0.45">
      <c r="B1175">
        <v>13</v>
      </c>
    </row>
    <row r="1176" spans="2:2" x14ac:dyDescent="0.45">
      <c r="B1176">
        <v>35</v>
      </c>
    </row>
    <row r="1177" spans="2:2" x14ac:dyDescent="0.45">
      <c r="B1177">
        <v>49</v>
      </c>
    </row>
    <row r="1178" spans="2:2" x14ac:dyDescent="0.45">
      <c r="B1178">
        <v>44</v>
      </c>
    </row>
    <row r="1179" spans="2:2" x14ac:dyDescent="0.45">
      <c r="B1179">
        <v>27</v>
      </c>
    </row>
    <row r="1180" spans="2:2" x14ac:dyDescent="0.45">
      <c r="B1180">
        <v>18</v>
      </c>
    </row>
    <row r="1181" spans="2:2" x14ac:dyDescent="0.45">
      <c r="B1181">
        <v>7</v>
      </c>
    </row>
    <row r="1182" spans="2:2" x14ac:dyDescent="0.45">
      <c r="B1182">
        <v>4</v>
      </c>
    </row>
    <row r="1183" spans="2:2" x14ac:dyDescent="0.45">
      <c r="B1183">
        <v>1174</v>
      </c>
    </row>
    <row r="1184" spans="2:2" x14ac:dyDescent="0.45">
      <c r="B1184">
        <v>0</v>
      </c>
    </row>
    <row r="1185" spans="2:2" x14ac:dyDescent="0.45">
      <c r="B1185">
        <v>100</v>
      </c>
    </row>
    <row r="1186" spans="2:2" x14ac:dyDescent="0.45">
      <c r="B1186">
        <v>306</v>
      </c>
    </row>
    <row r="1187" spans="2:2" x14ac:dyDescent="0.45">
      <c r="B1187">
        <v>194</v>
      </c>
    </row>
    <row r="1188" spans="2:2" x14ac:dyDescent="0.45">
      <c r="B1188">
        <v>122</v>
      </c>
    </row>
    <row r="1189" spans="2:2" x14ac:dyDescent="0.45">
      <c r="B1189">
        <v>59</v>
      </c>
    </row>
    <row r="1190" spans="2:2" x14ac:dyDescent="0.45">
      <c r="B1190">
        <v>31</v>
      </c>
    </row>
    <row r="1191" spans="2:2" x14ac:dyDescent="0.45">
      <c r="B1191">
        <v>11</v>
      </c>
    </row>
    <row r="1192" spans="2:2" x14ac:dyDescent="0.45">
      <c r="B1192">
        <v>3</v>
      </c>
    </row>
    <row r="1193" spans="2:2" x14ac:dyDescent="0.45">
      <c r="B1193">
        <v>1986</v>
      </c>
    </row>
    <row r="1194" spans="2:2" x14ac:dyDescent="0.45">
      <c r="B1194">
        <v>0</v>
      </c>
    </row>
    <row r="1195" spans="2:2" x14ac:dyDescent="0.45">
      <c r="B1195">
        <v>0</v>
      </c>
    </row>
    <row r="1196" spans="2:2" x14ac:dyDescent="0.45">
      <c r="B1196">
        <v>0</v>
      </c>
    </row>
    <row r="1197" spans="2:2" x14ac:dyDescent="0.45">
      <c r="B1197">
        <v>0</v>
      </c>
    </row>
    <row r="1198" spans="2:2" x14ac:dyDescent="0.45">
      <c r="B1198">
        <v>4</v>
      </c>
    </row>
    <row r="1199" spans="2:2" x14ac:dyDescent="0.45">
      <c r="B1199">
        <v>1</v>
      </c>
    </row>
    <row r="1200" spans="2:2" x14ac:dyDescent="0.45">
      <c r="B1200">
        <v>5</v>
      </c>
    </row>
    <row r="1201" spans="2:2" x14ac:dyDescent="0.45">
      <c r="B1201">
        <v>3</v>
      </c>
    </row>
    <row r="1202" spans="2:2" x14ac:dyDescent="0.45">
      <c r="B1202">
        <v>1</v>
      </c>
    </row>
    <row r="1203" spans="2:2" x14ac:dyDescent="0.45">
      <c r="B1203">
        <v>1797</v>
      </c>
    </row>
    <row r="1204" spans="2:2" x14ac:dyDescent="0.45">
      <c r="B1204">
        <v>0</v>
      </c>
    </row>
    <row r="1205" spans="2:2" x14ac:dyDescent="0.45">
      <c r="B1205">
        <v>0</v>
      </c>
    </row>
    <row r="1206" spans="2:2" x14ac:dyDescent="0.45">
      <c r="B1206">
        <v>34</v>
      </c>
    </row>
    <row r="1207" spans="2:2" x14ac:dyDescent="0.45">
      <c r="B1207">
        <v>57</v>
      </c>
    </row>
    <row r="1208" spans="2:2" x14ac:dyDescent="0.45">
      <c r="B1208">
        <v>41</v>
      </c>
    </row>
    <row r="1209" spans="2:2" x14ac:dyDescent="0.45">
      <c r="B1209">
        <v>37</v>
      </c>
    </row>
    <row r="1210" spans="2:2" x14ac:dyDescent="0.45">
      <c r="B1210">
        <v>17</v>
      </c>
    </row>
    <row r="1211" spans="2:2" x14ac:dyDescent="0.45">
      <c r="B1211">
        <v>12</v>
      </c>
    </row>
    <row r="1212" spans="2:2" x14ac:dyDescent="0.45">
      <c r="B1212">
        <v>5</v>
      </c>
    </row>
    <row r="1213" spans="2:2" x14ac:dyDescent="0.45">
      <c r="B1213">
        <v>1911</v>
      </c>
    </row>
    <row r="1214" spans="2:2" x14ac:dyDescent="0.45">
      <c r="B1214">
        <v>2</v>
      </c>
    </row>
    <row r="1215" spans="2:2" x14ac:dyDescent="0.45">
      <c r="B1215">
        <v>19</v>
      </c>
    </row>
    <row r="1216" spans="2:2" x14ac:dyDescent="0.45">
      <c r="B1216">
        <v>16</v>
      </c>
    </row>
    <row r="1217" spans="2:2" x14ac:dyDescent="0.45">
      <c r="B1217">
        <v>16</v>
      </c>
    </row>
    <row r="1218" spans="2:2" x14ac:dyDescent="0.45">
      <c r="B1218">
        <v>12</v>
      </c>
    </row>
    <row r="1219" spans="2:2" x14ac:dyDescent="0.45">
      <c r="B1219">
        <v>9</v>
      </c>
    </row>
    <row r="1220" spans="2:2" x14ac:dyDescent="0.45">
      <c r="B1220">
        <v>11</v>
      </c>
    </row>
    <row r="1221" spans="2:2" x14ac:dyDescent="0.45">
      <c r="B1221">
        <v>2</v>
      </c>
    </row>
    <row r="1222" spans="2:2" x14ac:dyDescent="0.45">
      <c r="B1222">
        <v>2</v>
      </c>
    </row>
    <row r="1223" spans="2:2" x14ac:dyDescent="0.45">
      <c r="B1223">
        <v>1989</v>
      </c>
    </row>
    <row r="1224" spans="2:2" x14ac:dyDescent="0.45">
      <c r="B1224">
        <v>0</v>
      </c>
    </row>
    <row r="1225" spans="2:2" x14ac:dyDescent="0.45">
      <c r="B1225">
        <v>0</v>
      </c>
    </row>
    <row r="1226" spans="2:2" x14ac:dyDescent="0.45">
      <c r="B1226">
        <v>0</v>
      </c>
    </row>
    <row r="1227" spans="2:2" x14ac:dyDescent="0.45">
      <c r="B1227">
        <v>2</v>
      </c>
    </row>
    <row r="1228" spans="2:2" x14ac:dyDescent="0.45">
      <c r="B1228">
        <v>0</v>
      </c>
    </row>
    <row r="1229" spans="2:2" x14ac:dyDescent="0.45">
      <c r="B1229">
        <v>2</v>
      </c>
    </row>
    <row r="1230" spans="2:2" x14ac:dyDescent="0.45">
      <c r="B1230">
        <v>3</v>
      </c>
    </row>
    <row r="1231" spans="2:2" x14ac:dyDescent="0.45">
      <c r="B1231">
        <v>2</v>
      </c>
    </row>
    <row r="1232" spans="2:2" x14ac:dyDescent="0.45">
      <c r="B1232">
        <v>2</v>
      </c>
    </row>
    <row r="1233" spans="2:2" x14ac:dyDescent="0.45">
      <c r="B1233">
        <v>1909</v>
      </c>
    </row>
    <row r="1234" spans="2:2" x14ac:dyDescent="0.45">
      <c r="B1234">
        <v>14</v>
      </c>
    </row>
    <row r="1235" spans="2:2" x14ac:dyDescent="0.45">
      <c r="B1235">
        <v>15</v>
      </c>
    </row>
    <row r="1236" spans="2:2" x14ac:dyDescent="0.45">
      <c r="B1236">
        <v>13</v>
      </c>
    </row>
    <row r="1237" spans="2:2" x14ac:dyDescent="0.45">
      <c r="B1237">
        <v>10</v>
      </c>
    </row>
    <row r="1238" spans="2:2" x14ac:dyDescent="0.45">
      <c r="B1238">
        <v>14</v>
      </c>
    </row>
    <row r="1239" spans="2:2" x14ac:dyDescent="0.45">
      <c r="B1239">
        <v>7</v>
      </c>
    </row>
    <row r="1240" spans="2:2" x14ac:dyDescent="0.45">
      <c r="B1240">
        <v>8</v>
      </c>
    </row>
    <row r="1241" spans="2:2" x14ac:dyDescent="0.45">
      <c r="B1241">
        <v>5</v>
      </c>
    </row>
    <row r="1242" spans="2:2" x14ac:dyDescent="0.45">
      <c r="B1242">
        <v>5</v>
      </c>
    </row>
    <row r="1243" spans="2:2" x14ac:dyDescent="0.45">
      <c r="B1243">
        <v>1996</v>
      </c>
    </row>
    <row r="1244" spans="2:2" x14ac:dyDescent="0.45">
      <c r="B1244">
        <v>0</v>
      </c>
    </row>
    <row r="1245" spans="2:2" x14ac:dyDescent="0.45">
      <c r="B1245">
        <v>0</v>
      </c>
    </row>
    <row r="1246" spans="2:2" x14ac:dyDescent="0.45">
      <c r="B1246">
        <v>0</v>
      </c>
    </row>
    <row r="1247" spans="2:2" x14ac:dyDescent="0.45">
      <c r="B1247">
        <v>0</v>
      </c>
    </row>
    <row r="1248" spans="2:2" x14ac:dyDescent="0.45">
      <c r="B1248">
        <v>0</v>
      </c>
    </row>
    <row r="1249" spans="2:2" x14ac:dyDescent="0.45">
      <c r="B1249">
        <v>0</v>
      </c>
    </row>
    <row r="1250" spans="2:2" x14ac:dyDescent="0.45">
      <c r="B1250">
        <v>0</v>
      </c>
    </row>
    <row r="1251" spans="2:2" x14ac:dyDescent="0.45">
      <c r="B1251">
        <v>2</v>
      </c>
    </row>
    <row r="1252" spans="2:2" x14ac:dyDescent="0.45">
      <c r="B1252">
        <v>2</v>
      </c>
    </row>
    <row r="1253" spans="2:2" x14ac:dyDescent="0.45">
      <c r="B1253">
        <v>1981</v>
      </c>
    </row>
    <row r="1254" spans="2:2" x14ac:dyDescent="0.45">
      <c r="B1254">
        <v>0</v>
      </c>
    </row>
    <row r="1255" spans="2:2" x14ac:dyDescent="0.45">
      <c r="B1255">
        <v>0</v>
      </c>
    </row>
    <row r="1256" spans="2:2" x14ac:dyDescent="0.45">
      <c r="B1256">
        <v>0</v>
      </c>
    </row>
    <row r="1257" spans="2:2" x14ac:dyDescent="0.45">
      <c r="B1257">
        <v>1</v>
      </c>
    </row>
    <row r="1258" spans="2:2" x14ac:dyDescent="0.45">
      <c r="B1258">
        <v>2</v>
      </c>
    </row>
    <row r="1259" spans="2:2" x14ac:dyDescent="0.45">
      <c r="B1259">
        <v>5</v>
      </c>
    </row>
    <row r="1260" spans="2:2" x14ac:dyDescent="0.45">
      <c r="B1260">
        <v>3</v>
      </c>
    </row>
    <row r="1261" spans="2:2" x14ac:dyDescent="0.45">
      <c r="B1261">
        <v>5</v>
      </c>
    </row>
    <row r="1262" spans="2:2" x14ac:dyDescent="0.45">
      <c r="B1262">
        <v>3</v>
      </c>
    </row>
    <row r="1263" spans="2:2" x14ac:dyDescent="0.45">
      <c r="B1263">
        <v>1982</v>
      </c>
    </row>
    <row r="1264" spans="2:2" x14ac:dyDescent="0.45">
      <c r="B1264">
        <v>0</v>
      </c>
    </row>
    <row r="1265" spans="2:2" x14ac:dyDescent="0.45">
      <c r="B1265">
        <v>1</v>
      </c>
    </row>
    <row r="1266" spans="2:2" x14ac:dyDescent="0.45">
      <c r="B1266">
        <v>1</v>
      </c>
    </row>
    <row r="1267" spans="2:2" x14ac:dyDescent="0.45">
      <c r="B1267">
        <v>7</v>
      </c>
    </row>
    <row r="1268" spans="2:2" x14ac:dyDescent="0.45">
      <c r="B1268">
        <v>4</v>
      </c>
    </row>
    <row r="1269" spans="2:2" x14ac:dyDescent="0.45">
      <c r="B1269">
        <v>0</v>
      </c>
    </row>
    <row r="1270" spans="2:2" x14ac:dyDescent="0.45">
      <c r="B1270">
        <v>2</v>
      </c>
    </row>
    <row r="1271" spans="2:2" x14ac:dyDescent="0.45">
      <c r="B1271">
        <v>2</v>
      </c>
    </row>
    <row r="1272" spans="2:2" x14ac:dyDescent="0.45">
      <c r="B1272">
        <v>1</v>
      </c>
    </row>
    <row r="1273" spans="2:2" x14ac:dyDescent="0.45">
      <c r="B1273">
        <v>621</v>
      </c>
    </row>
    <row r="1274" spans="2:2" x14ac:dyDescent="0.45">
      <c r="B1274">
        <v>0</v>
      </c>
    </row>
    <row r="1275" spans="2:2" x14ac:dyDescent="0.45">
      <c r="B1275">
        <v>0</v>
      </c>
    </row>
    <row r="1276" spans="2:2" x14ac:dyDescent="0.45">
      <c r="B1276">
        <v>0</v>
      </c>
    </row>
    <row r="1277" spans="2:2" x14ac:dyDescent="0.45">
      <c r="B1277">
        <v>0</v>
      </c>
    </row>
    <row r="1278" spans="2:2" x14ac:dyDescent="0.45">
      <c r="B1278">
        <v>0</v>
      </c>
    </row>
    <row r="1279" spans="2:2" x14ac:dyDescent="0.45">
      <c r="B1279">
        <v>0</v>
      </c>
    </row>
    <row r="1280" spans="2:2" x14ac:dyDescent="0.45">
      <c r="B1280">
        <v>1097</v>
      </c>
    </row>
    <row r="1281" spans="2:2" x14ac:dyDescent="0.45">
      <c r="B1281">
        <v>255</v>
      </c>
    </row>
    <row r="1282" spans="2:2" x14ac:dyDescent="0.45">
      <c r="B1282">
        <v>27</v>
      </c>
    </row>
    <row r="1283" spans="2:2" x14ac:dyDescent="0.45">
      <c r="B1283">
        <v>1801</v>
      </c>
    </row>
    <row r="1284" spans="2:2" x14ac:dyDescent="0.45">
      <c r="B1284">
        <v>3</v>
      </c>
    </row>
    <row r="1285" spans="2:2" x14ac:dyDescent="0.45">
      <c r="B1285">
        <v>52</v>
      </c>
    </row>
    <row r="1286" spans="2:2" x14ac:dyDescent="0.45">
      <c r="B1286">
        <v>52</v>
      </c>
    </row>
    <row r="1287" spans="2:2" x14ac:dyDescent="0.45">
      <c r="B1287">
        <v>36</v>
      </c>
    </row>
    <row r="1288" spans="2:2" x14ac:dyDescent="0.45">
      <c r="B1288">
        <v>25</v>
      </c>
    </row>
    <row r="1289" spans="2:2" x14ac:dyDescent="0.45">
      <c r="B1289">
        <v>12</v>
      </c>
    </row>
    <row r="1290" spans="2:2" x14ac:dyDescent="0.45">
      <c r="B1290">
        <v>9</v>
      </c>
    </row>
    <row r="1291" spans="2:2" x14ac:dyDescent="0.45">
      <c r="B1291">
        <v>7</v>
      </c>
    </row>
    <row r="1292" spans="2:2" x14ac:dyDescent="0.45">
      <c r="B1292">
        <v>3</v>
      </c>
    </row>
    <row r="1293" spans="2:2" x14ac:dyDescent="0.45">
      <c r="B1293">
        <v>1191</v>
      </c>
    </row>
    <row r="1294" spans="2:2" x14ac:dyDescent="0.45">
      <c r="B1294">
        <v>98</v>
      </c>
    </row>
    <row r="1295" spans="2:2" x14ac:dyDescent="0.45">
      <c r="B1295">
        <v>174</v>
      </c>
    </row>
    <row r="1296" spans="2:2" x14ac:dyDescent="0.45">
      <c r="B1296">
        <v>144</v>
      </c>
    </row>
    <row r="1297" spans="2:2" x14ac:dyDescent="0.45">
      <c r="B1297">
        <v>140</v>
      </c>
    </row>
    <row r="1298" spans="2:2" x14ac:dyDescent="0.45">
      <c r="B1298">
        <v>92</v>
      </c>
    </row>
    <row r="1299" spans="2:2" x14ac:dyDescent="0.45">
      <c r="B1299">
        <v>85</v>
      </c>
    </row>
    <row r="1300" spans="2:2" x14ac:dyDescent="0.45">
      <c r="B1300">
        <v>49</v>
      </c>
    </row>
    <row r="1301" spans="2:2" x14ac:dyDescent="0.45">
      <c r="B1301">
        <v>18</v>
      </c>
    </row>
    <row r="1302" spans="2:2" x14ac:dyDescent="0.45">
      <c r="B1302">
        <v>9</v>
      </c>
    </row>
    <row r="1303" spans="2:2" x14ac:dyDescent="0.45">
      <c r="B1303">
        <v>1811</v>
      </c>
    </row>
    <row r="1304" spans="2:2" x14ac:dyDescent="0.45">
      <c r="B1304">
        <v>0</v>
      </c>
    </row>
    <row r="1305" spans="2:2" x14ac:dyDescent="0.45">
      <c r="B1305">
        <v>13</v>
      </c>
    </row>
    <row r="1306" spans="2:2" x14ac:dyDescent="0.45">
      <c r="B1306">
        <v>54</v>
      </c>
    </row>
    <row r="1307" spans="2:2" x14ac:dyDescent="0.45">
      <c r="B1307">
        <v>46</v>
      </c>
    </row>
    <row r="1308" spans="2:2" x14ac:dyDescent="0.45">
      <c r="B1308">
        <v>30</v>
      </c>
    </row>
    <row r="1309" spans="2:2" x14ac:dyDescent="0.45">
      <c r="B1309">
        <v>25</v>
      </c>
    </row>
    <row r="1310" spans="2:2" x14ac:dyDescent="0.45">
      <c r="B1310">
        <v>14</v>
      </c>
    </row>
    <row r="1311" spans="2:2" x14ac:dyDescent="0.45">
      <c r="B1311">
        <v>3</v>
      </c>
    </row>
    <row r="1312" spans="2:2" x14ac:dyDescent="0.45">
      <c r="B1312">
        <v>4</v>
      </c>
    </row>
    <row r="1313" spans="2:2" x14ac:dyDescent="0.45">
      <c r="B1313">
        <v>1977</v>
      </c>
    </row>
    <row r="1314" spans="2:2" x14ac:dyDescent="0.45">
      <c r="B1314">
        <v>2</v>
      </c>
    </row>
    <row r="1315" spans="2:2" x14ac:dyDescent="0.45">
      <c r="B1315">
        <v>0</v>
      </c>
    </row>
    <row r="1316" spans="2:2" x14ac:dyDescent="0.45">
      <c r="B1316">
        <v>4</v>
      </c>
    </row>
    <row r="1317" spans="2:2" x14ac:dyDescent="0.45">
      <c r="B1317">
        <v>4</v>
      </c>
    </row>
    <row r="1318" spans="2:2" x14ac:dyDescent="0.45">
      <c r="B1318">
        <v>4</v>
      </c>
    </row>
    <row r="1319" spans="2:2" x14ac:dyDescent="0.45">
      <c r="B1319">
        <v>1</v>
      </c>
    </row>
    <row r="1320" spans="2:2" x14ac:dyDescent="0.45">
      <c r="B1320">
        <v>1</v>
      </c>
    </row>
    <row r="1321" spans="2:2" x14ac:dyDescent="0.45">
      <c r="B1321">
        <v>5</v>
      </c>
    </row>
    <row r="1322" spans="2:2" x14ac:dyDescent="0.45">
      <c r="B1322">
        <v>2</v>
      </c>
    </row>
    <row r="1323" spans="2:2" x14ac:dyDescent="0.45">
      <c r="B1323">
        <v>38</v>
      </c>
    </row>
    <row r="1324" spans="2:2" x14ac:dyDescent="0.45">
      <c r="B1324">
        <v>183</v>
      </c>
    </row>
    <row r="1325" spans="2:2" x14ac:dyDescent="0.45">
      <c r="B1325">
        <v>494</v>
      </c>
    </row>
    <row r="1326" spans="2:2" x14ac:dyDescent="0.45">
      <c r="B1326">
        <v>535</v>
      </c>
    </row>
    <row r="1327" spans="2:2" x14ac:dyDescent="0.45">
      <c r="B1327">
        <v>411</v>
      </c>
    </row>
    <row r="1328" spans="2:2" x14ac:dyDescent="0.45">
      <c r="B1328">
        <v>220</v>
      </c>
    </row>
    <row r="1329" spans="2:2" x14ac:dyDescent="0.45">
      <c r="B1329">
        <v>87</v>
      </c>
    </row>
    <row r="1330" spans="2:2" x14ac:dyDescent="0.45">
      <c r="B1330">
        <v>26</v>
      </c>
    </row>
    <row r="1331" spans="2:2" x14ac:dyDescent="0.45">
      <c r="B1331">
        <v>4</v>
      </c>
    </row>
    <row r="1332" spans="2:2" x14ac:dyDescent="0.45">
      <c r="B1332">
        <v>2</v>
      </c>
    </row>
    <row r="1333" spans="2:2" x14ac:dyDescent="0.45">
      <c r="B1333">
        <v>15</v>
      </c>
    </row>
    <row r="1334" spans="2:2" x14ac:dyDescent="0.45">
      <c r="B1334">
        <v>59</v>
      </c>
    </row>
    <row r="1335" spans="2:2" x14ac:dyDescent="0.45">
      <c r="B1335">
        <v>187</v>
      </c>
    </row>
    <row r="1336" spans="2:2" x14ac:dyDescent="0.45">
      <c r="B1336">
        <v>412</v>
      </c>
    </row>
    <row r="1337" spans="2:2" x14ac:dyDescent="0.45">
      <c r="B1337">
        <v>561</v>
      </c>
    </row>
    <row r="1338" spans="2:2" x14ac:dyDescent="0.45">
      <c r="B1338">
        <v>440</v>
      </c>
    </row>
    <row r="1339" spans="2:2" x14ac:dyDescent="0.45">
      <c r="B1339">
        <v>232</v>
      </c>
    </row>
    <row r="1340" spans="2:2" x14ac:dyDescent="0.45">
      <c r="B1340">
        <v>67</v>
      </c>
    </row>
    <row r="1341" spans="2:2" x14ac:dyDescent="0.45">
      <c r="B1341">
        <v>24</v>
      </c>
    </row>
    <row r="1342" spans="2:2" x14ac:dyDescent="0.45">
      <c r="B134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7DD8893E-18A1-4E51-B781-992C30A5200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About</vt:lpstr>
      <vt:lpstr>Inputs</vt:lpstr>
      <vt:lpstr>Risks</vt:lpstr>
      <vt:lpstr>Results</vt:lpstr>
      <vt:lpstr>ModelRiskDSN</vt:lpstr>
      <vt:lpstr>ModelRiskSYS1</vt:lpstr>
      <vt:lpstr>ModelRiskCharts</vt:lpstr>
      <vt:lpstr>Checks</vt:lpstr>
      <vt:lpstr>CLT</vt:lpstr>
      <vt:lpstr>Confidence</vt:lpstr>
      <vt:lpstr>Results!Print_Area</vt:lpstr>
      <vt:lpstr>Inputs!Print_Titles</vt:lpstr>
      <vt:lpstr>Results!Print_Titles</vt:lpstr>
      <vt:lpstr>RiskID</vt:lpstr>
      <vt:lpstr>RiskMeanIf</vt:lpstr>
      <vt:lpstr>RiskP</vt:lpstr>
      <vt:lpstr>RiskVar</vt:lpstr>
      <vt:lpstr>Total</vt:lpstr>
      <vt:lpstr>TotalMean</vt:lpstr>
      <vt:lpstr>TotalSD</vt:lpstr>
      <vt:lpstr>TotalVar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GU-02 Risk Portfolio: The Central Limit Theorem Approximation</dc:title>
  <dc:subject>ModelRisk industry example library — General use</dc:subject>
  <dc:creator>Vose Software</dc:creator>
  <cp:keywords>ModelRisk; Monte Carlo; General use</cp:keywords>
  <dc:description>A register of 132 independent risks, simulated and approximated by the Central Limit Theorem: where the shortcut holds.</dc:description>
  <cp:lastModifiedBy>Timour Koupeev</cp:lastModifiedBy>
  <cp:lastPrinted>2026-10-07T12:28:13Z</cp:lastPrinted>
  <dcterms:created xsi:type="dcterms:W3CDTF">2026-10-07T12:26:10Z</dcterms:created>
  <dcterms:modified xsi:type="dcterms:W3CDTF">2026-10-07T12:28:15Z</dcterms:modified>
</cp:coreProperties>
</file>