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32A1859D-B4ED-4624-A2A4-629D3C696DE2}" xr6:coauthVersionLast="47" xr6:coauthVersionMax="47" xr10:uidLastSave="{00000000-0000-0000-0000-000000000000}"/>
  <bookViews>
    <workbookView xWindow="-98" yWindow="-98" windowWidth="21795" windowHeight="12975" firstSheet="2" activeTab="2" xr2:uid="{156DD54F-404E-4218-98EB-E95596D81B80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_MC_Calc!$A$1:$AK$1</definedName>
    <definedName name="AnalysisPeriod">MC_Tree_1!$C$16</definedName>
    <definedName name="AnnualMiles">MC_Tree_1!$C$11</definedName>
    <definedName name="DieselResale">MC_Tree_1!$C$15</definedName>
    <definedName name="DieselVehicleCost">MC_Tree_1!$C$7</definedName>
    <definedName name="ElecCostPerMile">MC_Tree_1!$C$9</definedName>
    <definedName name="EVResale">MC_Tree_1!$C$14</definedName>
    <definedName name="EVVehicleCost">MC_Tree_1!$C$6</definedName>
    <definedName name="FleetSize">MC_Tree_1!$C$10</definedName>
    <definedName name="FuelCostPerMile">MC_Tree_1!$C$8</definedName>
    <definedName name="FuelEscalation">MC_Tree_1!$C$17</definedName>
    <definedName name="GovIncentive">MC_Tree_1!$C$13</definedName>
    <definedName name="MaintSavings">MC_Tree_1!$C$12</definedName>
    <definedName name="MC_BD_D_phase2_T_phase_convert" localSheetId="3">MC_Tree_1!$E$30</definedName>
    <definedName name="MC_BD_D_phase2_T_phase_mixed" localSheetId="3">MC_Tree_1!$E$34</definedName>
    <definedName name="MC_BD_D_root_C_diesel" localSheetId="3">MC_Tree_1!$C$48</definedName>
    <definedName name="MC_BD_D_root_C_fuel_full" localSheetId="3">MC_Tree_1!$C$22</definedName>
    <definedName name="MC_BD_D_root_C_hybrid" localSheetId="3">MC_Tree_1!$C$42</definedName>
    <definedName name="MC_BD_D_root_C_phase1" localSheetId="3">MC_Tree_1!$C$36</definedName>
    <definedName name="MC_BP_C_diesel_T_diesel_crisis" localSheetId="3">MC_Tree_1!$D$52</definedName>
    <definedName name="MC_BP_C_diesel_T_diesel_ok" localSheetId="3">MC_Tree_1!$D$46</definedName>
    <definedName name="MC_BP_C_diesel_T_diesel_reg" localSheetId="3">MC_Tree_1!$D$50</definedName>
    <definedName name="MC_BP_C_fuel_full_T_full_drop" localSheetId="3">MC_Tree_1!$D$26</definedName>
    <definedName name="MC_BP_C_fuel_full_T_full_rise" localSheetId="3">MC_Tree_1!$D$20</definedName>
    <definedName name="MC_BP_C_fuel_full_T_full_stable" localSheetId="3">MC_Tree_1!$D$24</definedName>
    <definedName name="MC_BP_C_hybrid_T_hybrid_good" localSheetId="3">MC_Tree_1!$D$40</definedName>
    <definedName name="MC_BP_C_hybrid_T_hybrid_poor" localSheetId="3">MC_Tree_1!$D$44</definedName>
    <definedName name="MC_BP_C_phase1_D_phase2" localSheetId="3">MC_Tree_1!$D$32</definedName>
    <definedName name="MC_BP_C_phase1_T_phase_under" localSheetId="3">MC_Tree_1!$D$38</definedName>
    <definedName name="MC_BV_C_diesel_T_diesel_crisis" localSheetId="3">MC_Tree_1!$D$53</definedName>
    <definedName name="MC_BV_C_diesel_T_diesel_ok" localSheetId="3">MC_Tree_1!$D$47</definedName>
    <definedName name="MC_BV_C_diesel_T_diesel_reg" localSheetId="3">MC_Tree_1!$D$51</definedName>
    <definedName name="MC_BV_C_fuel_full_T_full_drop" localSheetId="3">MC_Tree_1!$D$27</definedName>
    <definedName name="MC_BV_C_fuel_full_T_full_rise" localSheetId="3">MC_Tree_1!$D$21</definedName>
    <definedName name="MC_BV_C_fuel_full_T_full_stable" localSheetId="3">MC_Tree_1!$D$25</definedName>
    <definedName name="MC_BV_C_hybrid_T_hybrid_good" localSheetId="3">MC_Tree_1!$D$41</definedName>
    <definedName name="MC_BV_C_hybrid_T_hybrid_poor" localSheetId="3">MC_Tree_1!$D$45</definedName>
    <definedName name="MC_BV_C_phase1_D_phase2" localSheetId="3">MC_Tree_1!$D$33</definedName>
    <definedName name="MC_BV_C_phase1_T_phase_under" localSheetId="3">MC_Tree_1!$D$39</definedName>
    <definedName name="MC_BV_D_phase2_T_phase_convert" localSheetId="3">MC_Tree_1!$E$31</definedName>
    <definedName name="MC_BV_D_phase2_T_phase_mixed" localSheetId="3">MC_Tree_1!$E$35</definedName>
    <definedName name="MC_BV_D_root_C_diesel" localSheetId="3">MC_Tree_1!$C$49</definedName>
    <definedName name="MC_BV_D_root_C_fuel_full" localSheetId="3">MC_Tree_1!$C$23</definedName>
    <definedName name="MC_BV_D_root_C_hybrid" localSheetId="3">MC_Tree_1!$C$43</definedName>
    <definedName name="MC_BV_D_root_C_phase1" localSheetId="3">MC_Tree_1!$C$37</definedName>
    <definedName name="MC_N_C_diesel" localSheetId="3">MC_Tree_1!$D$48</definedName>
    <definedName name="MC_N_C_fuel_full" localSheetId="3">MC_Tree_1!$D$22</definedName>
    <definedName name="MC_N_C_hybrid" localSheetId="3">MC_Tree_1!$D$42</definedName>
    <definedName name="MC_N_C_phase1" localSheetId="3">MC_Tree_1!$D$36</definedName>
    <definedName name="MC_N_D_phase2" localSheetId="3">MC_Tree_1!$E$32</definedName>
    <definedName name="MC_N_D_root" localSheetId="3">MC_Tree_1!$C$28</definedName>
    <definedName name="MC_NP_T_diesel_crisis" localSheetId="3">MC_Tree_1!$E$52</definedName>
    <definedName name="MC_NP_T_diesel_ok" localSheetId="3">MC_Tree_1!$E$46</definedName>
    <definedName name="MC_NP_T_diesel_reg" localSheetId="3">MC_Tree_1!$E$50</definedName>
    <definedName name="MC_NP_T_full_drop" localSheetId="3">MC_Tree_1!$E$26</definedName>
    <definedName name="MC_NP_T_full_rise" localSheetId="3">MC_Tree_1!$E$20</definedName>
    <definedName name="MC_NP_T_full_stable" localSheetId="3">MC_Tree_1!$E$24</definedName>
    <definedName name="MC_NP_T_hybrid_good" localSheetId="3">MC_Tree_1!$E$40</definedName>
    <definedName name="MC_NP_T_hybrid_poor" localSheetId="3">MC_Tree_1!$E$44</definedName>
    <definedName name="MC_NP_T_phase_convert" localSheetId="3">MC_Tree_1!$F$30</definedName>
    <definedName name="MC_NP_T_phase_mixed" localSheetId="3">MC_Tree_1!$F$34</definedName>
    <definedName name="MC_NP_T_phase_under" localSheetId="3">MC_Tree_1!$E$38</definedName>
    <definedName name="MC_V_C_diesel" localSheetId="3">MC_Tree_1!$D$49</definedName>
    <definedName name="MC_V_C_fuel_full" localSheetId="3">MC_Tree_1!$D$23</definedName>
    <definedName name="MC_V_C_hybrid" localSheetId="3">MC_Tree_1!$D$43</definedName>
    <definedName name="MC_V_C_phase1" localSheetId="3">MC_Tree_1!$D$37</definedName>
    <definedName name="MC_V_D_phase2" localSheetId="3">MC_Tree_1!$E$33</definedName>
    <definedName name="MC_V_D_root" localSheetId="3">MC_Tree_1!$C$29</definedName>
    <definedName name="MC_V_T_diesel_crisis" localSheetId="3">MC_Tree_1!$E$53</definedName>
    <definedName name="MC_V_T_diesel_ok" localSheetId="3">MC_Tree_1!$E$47</definedName>
    <definedName name="MC_V_T_diesel_reg" localSheetId="3">MC_Tree_1!$E$51</definedName>
    <definedName name="MC_V_T_full_drop" localSheetId="3">MC_Tree_1!$E$27</definedName>
    <definedName name="MC_V_T_full_rise" localSheetId="3">MC_Tree_1!$E$21</definedName>
    <definedName name="MC_V_T_full_stable" localSheetId="3">MC_Tree_1!$E$25</definedName>
    <definedName name="MC_V_T_hybrid_good" localSheetId="3">MC_Tree_1!$E$41</definedName>
    <definedName name="MC_V_T_hybrid_poor" localSheetId="3">MC_Tree_1!$E$45</definedName>
    <definedName name="MC_V_T_phase_convert" localSheetId="3">MC_Tree_1!$F$31</definedName>
    <definedName name="MC_V_T_phase_mixed" localSheetId="3">MC_Tree_1!$F$35</definedName>
    <definedName name="MC_V_T_phase_under" localSheetId="3">MC_Tree_1!$E$39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3" l="1"/>
  <c r="C37" i="3"/>
  <c r="D25" i="3"/>
  <c r="J1" i="4" s="1"/>
  <c r="D45" i="3"/>
  <c r="D41" i="3"/>
  <c r="N1" i="4" s="1"/>
  <c r="E35" i="3"/>
  <c r="V1" i="4" s="1"/>
  <c r="D47" i="3"/>
  <c r="B1" i="4" s="1"/>
  <c r="D27" i="3"/>
  <c r="L1" i="4" s="1"/>
  <c r="C43" i="3"/>
  <c r="C49" i="3"/>
  <c r="E31" i="3"/>
  <c r="C23" i="3"/>
  <c r="D39" i="3"/>
  <c r="T1" i="4" s="1"/>
  <c r="D53" i="3"/>
  <c r="F1" i="4" s="1"/>
  <c r="D21" i="3"/>
  <c r="Z1" i="4"/>
  <c r="Y1" i="4"/>
  <c r="X1" i="4"/>
  <c r="W1" i="4"/>
  <c r="U1" i="4"/>
  <c r="S1" i="4"/>
  <c r="R1" i="4"/>
  <c r="Q1" i="4"/>
  <c r="P1" i="4"/>
  <c r="O1" i="4"/>
  <c r="M1" i="4"/>
  <c r="K1" i="4"/>
  <c r="I1" i="4"/>
  <c r="H1" i="4"/>
  <c r="G1" i="4"/>
  <c r="E1" i="4"/>
  <c r="D1" i="4"/>
  <c r="C1" i="4"/>
  <c r="A1" i="4"/>
  <c r="E53" i="3"/>
  <c r="E44" i="3"/>
  <c r="F34" i="3"/>
  <c r="E24" i="3"/>
  <c r="C48" i="3"/>
  <c r="F30" i="3"/>
  <c r="C22" i="3"/>
  <c r="C29" i="3"/>
  <c r="E47" i="3"/>
  <c r="E27" i="3"/>
  <c r="F35" i="3"/>
  <c r="E30" i="3"/>
  <c r="E52" i="3"/>
  <c r="D43" i="3"/>
  <c r="E33" i="3"/>
  <c r="D23" i="3"/>
  <c r="C42" i="3"/>
  <c r="E40" i="3"/>
  <c r="E20" i="3"/>
  <c r="E39" i="3"/>
  <c r="E38" i="3"/>
  <c r="D37" i="3"/>
  <c r="E26" i="3"/>
  <c r="E51" i="3"/>
  <c r="E41" i="3"/>
  <c r="F31" i="3"/>
  <c r="E21" i="3"/>
  <c r="C36" i="3"/>
  <c r="E50" i="3"/>
  <c r="D49" i="3"/>
  <c r="E46" i="3"/>
  <c r="E34" i="3"/>
  <c r="E45" i="3"/>
  <c r="E25" i="3"/>
</calcChain>
</file>

<file path=xl/sharedStrings.xml><?xml version="1.0" encoding="utf-8"?>
<sst xmlns="http://schemas.openxmlformats.org/spreadsheetml/2006/main" count="77" uniqueCount="72">
  <si>
    <t>{"_v":2,"trees":{"MC_Tree_1":"{\n  \"RootId\": \"D_root\",\n  \"Nodes\": {\n    \"D_root\": {\n      \"type\": \"decision\",\n      \"id\": \"D_root\",\n      \"name\": \"Fleet Strategy\",\n      \"options\": [\n        {\n          \"name\": \"Full EV Conversion\",\n          \"childId\": \"C_fuel_full\",\n          \"value\": -4750000\n        },\n        {\n          \"name\": \"Phased Conversion (50%)\",\n          \"childId\": \"C_phase1\",\n          \"value\": -2375000\n        },\n        {\n          \"name\": \"Hybrid Fleet (30% EV)\",\n          \"childId\": \"C_hybrid\",\n          \"value\": -1425000\n        },\n        {\n          \"name\": \"Keep Diesel Fleet\",\n          \"childId\": \"C_diesel\",\n          \"value\": -400000\n        }\n      ]\n    },\n    \"C_fuel_full\": {\n      \"type\": \"chance\",\n      \"id\": \"C_fuel_full\",\n      \"name\": \"Fuel Price Trend (Full EV)\",\n      \"branches\": [\n        {\n          \"name\": \"Fuel Prices Rise\",\n          \"probability\": 0.45,\n          \"childId\": \"T_full_rise\",\n          \"value\": 6875000\n        },\n        {\n          \"name\": \"Fuel Prices Stable\",\n          \"probability\": 0.35,\n          \"childId\": \"T_full_stable\",\n          \"value\": 5312500\n        },\n        {\n          \"name\": \"Fuel Prices Drop\",\n          \"probability\": 0.2,\n          \"childId\": \"T_full_drop\",\n          \"value\": 3750000\n        }\n      ]\n    },\n    \"T_full_rise\": {\n      \"type\": \"terminal\",\n      \"id\": \"T_full_rise\",\n      \"name\": \"Full EV + Rising Fuel\",\n      \"value\": 0\n    },\n    \"T_full_stable\": {\n      \"type\": \"terminal\",\n      \"id\": \"T_full_stable\",\n      \"name\": \"Full EV + Stable Fuel\",\n      \"value\": 0\n    },\n    \"T_full_drop\": {\n      \"type\": \"terminal\",\n      \"id\": \"T_full_drop\",\n      \"name\": \"Full EV + Falling Fuel\",\n      \"value\": 0\n    },\n    \"C_phase1\": {\n      \"type\": \"chance\",\n      \"id\": \"C_phase1\",\n      \"name\": \"Phase 1 EV Performance\",\n      \"branches\": [\n        {\n          \"name\": \"EVs Perform Well\",\n          \"probability\": 0.6,\n          \"childId\": \"D_phase2\"\n        },\n        {\n          \"name\": \"EVs Underperform\",\n          \"probability\": 0.4,\n          \"childId\": \"T_phase_under\",\n          \"value\": 2187500\n        }\n      ]\n    },\n    \"D_phase2\": {\n      \"type\": \"decision\",\n      \"id\": \"D_phase2\",\n      \"name\": \"Phase 2 Decision\",\n      \"options\": [\n        {\n          \"name\": \"Convert Remaining 50%\",\n          \"childId\": \"T_phase_convert\",\n          \"value\": 2937500\n        },\n        {\n          \"name\": \"Stay Mixed Fleet\",\n          \"childId\": \"T_phase_mixed\",\n          \"value\": 3437500\n        }\n      ]\n    },\n    \"T_phase_convert\": {\n      \"type\": \"terminal\",\n      \"id\": \"T_phase_convert\",\n      \"name\": \"Full Conversion (Phased)\",\n      \"value\": 0\n    },\n    \"T_phase_mixed\": {\n      \"type\": \"terminal\",\n      \"id\": \"T_phase_mixed\",\n      \"name\": \"Permanent Mixed Fleet\",\n      \"value\": 0\n    },\n    \"T_phase_under\": {\n      \"type\": \"terminal\",\n      \"id\": \"T_phase_under\",\n      \"name\": \"Phased - EVs Underperform\",\n      \"value\": 0\n    },\n    \"C_hybrid\": {\n      \"type\": \"chance\",\n      \"id\": \"C_hybrid\",\n      \"name\": \"Hybrid Fleet Outcome\",\n      \"branches\": [\n        {\n          \"name\": \"Good Operational Fit\",\n          \"probability\": 0.55,\n          \"childId\": \"T_hybrid_good\",\n          \"value\": 2625000\n        },\n        {\n          \"name\": \"Poor Operational Fit\",\n          \"probability\": 0.45,\n          \"childId\": \"T_hybrid_poor\",\n          \"value\": 1312500\n        }\n      ]\n    },\n    \"T_hybrid_good\": {\n      \"type\": \"terminal\",\n      \"id\": \"T_hybrid_good\",\n      \"name\": \"Hybrid - Good Fit\",\n      \"value\": 0\n    },\n    \"T_hybrid_poor\": {\n      \"type\": \"terminal\",\n      \"id\": \"T_hybrid_poor\",\n      \"name\": \"Hybrid - Poor Fit\",\n      \"value\": 0\n    },\n    \"C_diesel\": {\n      \"type\": \"chance\",\n      \"id\": \"C_diesel\",\n      \"name\": \"Diesel Fleet Outlook\",\n      \"branches\": [\n        {\n          \"name\": \"Status Quo\",\n          \"probability\": 0.4,\n          \"childId\": \"T_diesel_ok\",\n          \"value\": 1250000\n        },\n        {\n          \"name\": \"Regulation Pressure\",\n          \"probability\": 0.35,\n          \"childId\": \"T_diesel_reg\",\n          \"value\": 375000\n        },\n        {\n          \"name\": \"Fuel Crisis\",\n          \"probability\": 0.25,\n          \"childId\": \"T_diesel_crisis\",\n          \"value\": -625000\n        }\n      ]\n    },\n    \"T_diesel_ok\": {\n      \"type\": \"terminal\",\n      \"id\": \"T_diesel_ok\",\n      \"name\": \"Diesel - Status Quo\",\n      \"value\": 0\n    },\n    \"T_diesel_reg\": {\n      \"type\": \"terminal\",\n      \"id\": \"T_diesel_reg\",\n      \"name\": \"Diesel - Regulation Costs\",\n      \"value\": 0\n    },\n    \"T_diesel_crisis\": {\n      \"type\": \"terminal\",\n      \"id\": \"T_diesel_crisis\",\n      \"name\": \"Diesel - Fuel Crisis\",\n      \"value\": 0\n    }\n  },\n  \"Settings\": {\n    \"ModelName\": \"Fleet Electrification\",\n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\"MC_BV_D_root_C_fuel_full\": \"=-(EVVehicleCost-GovIncentive)*FleetSize\",\n    \"MC_BV_D_root_C_phase1\": \"=-(EVVehicleCost-GovIncentive)*FleetSize/2\",\n    \"MC_BV_D_phase2_T_phase_convert\": \"=-(EVVehicleCost-GovIncentive)*FleetSize/2+(FuelCostPerMile-ElecCostPerMile)*AnnualMiles*FleetSize*AnalysisPeriod+MaintSavings*FleetSize*AnalysisPeriod+EVResale*FleetSize\",\n    \"MC_BV_D_root_C_hybrid\": \"=-(EVVehicleCost-GovIncentive)*FleetSize*0.3\",\n    \"MC_BV_D_root_C_diesel\": \"=-DieselVehicleCost*FleetSize*0.1\",\n    \"MC_BV_C_fuel_full_T_full_rise\": \"=(FuelCostPerMile-ElecCostPerMile)*AnnualMiles*FleetSize*AnalysisPeriod*1.25+MaintSavings*FleetSize*AnalysisPeriod+EVResale*FleetSize\",\n    \"MC_BV_C_fuel_full_T_full_stable\": \"=(FuelCostPerMile-ElecCostPerMile)*AnnualMiles*FleetSize*AnalysisPeriod+MaintSavings*FleetSize*AnalysisPeriod+EVResale*FleetSize\",\n    \"MC_BV_C_fuel_full_T_full_drop\": \"=(FuelCostPerMile-ElecCostPerMile)*AnnualMiles*FleetSize*AnalysisPeriod*0.75+MaintSavings*FleetSize*AnalysisPeriod+EVResale*FleetSize\",\n    \"MC_BV_D_phase2_T_phase_mixed\": \"=(FuelCostPerMile-ElecCostPerMile)*AnnualMiles*FleetSize*0.5*AnalysisPeriod+MaintSavings*FleetSize*0.5*AnalysisPeriod+EVResale*FleetSize*0.5+DieselResale*FleetSize*0.5\",\n    \"MC_BV_C_phase1_T_phase_under\": \"=(FuelCostPerMile-ElecCostPerMile)*AnnualMiles*FleetSize*0.5*AnalysisPeriod*0.7+MaintSavings*FleetSize*0.5*AnalysisPeriod+EVResale*FleetSize*0.5\",\n    \"MC_BV_C_hybrid_T_hybrid_good\": \"=(FuelCostPerMile-ElecCostPerMile)*AnnualMiles*FleetSize*0.3*AnalysisPeriod+MaintSavings*FleetSize*0.3*AnalysisPeriod+EVResale*FleetSize*0.3+DieselResale*FleetSize*0.7\",\n    \"MC_BV_C_hybrid_T_hybrid_poor\": \"=(FuelCostPerMile-ElecCostPerMile)*AnnualMiles*FleetSize*0.3*AnalysisPeriod*0.5+MaintSavings*FleetSize*0.3*AnalysisPeriod*0.5+EVResale*FleetSize*0.3+DieselResale*FleetSize*0.7\",\n    \"MC_BV_C_diesel_T_diesel_ok\": \"=DieselResale*FleetSize-FuelCostPerMile*AnnualMiles*FleetSize*AnalysisPeriod*0.1\",\n    \"MC_BV_C_diesel_T_diesel_reg\": \"=DieselResale*FleetSize-FuelCostPerMile*AnnualMiles*FleetSize*AnalysisPeriod*0.2\",\n    \"MC_BV_C_diesel_T_diesel_crisis\": \"=DieselResale*FleetSize-FuelCostPerMile*AnnualMiles*FleetSize*AnalysisPeriod*0.5\"\n  }\n}"}}</t>
  </si>
  <si>
    <t>Fuel Price Trend (Full EV)</t>
  </si>
  <si>
    <t>Fleet Strategy</t>
  </si>
  <si>
    <t>Phase 2 Decision</t>
  </si>
  <si>
    <t>Phase 1 EV Performance</t>
  </si>
  <si>
    <t>Hybrid Fleet Outcome</t>
  </si>
  <si>
    <t>Diesel Fleet Outlook</t>
  </si>
  <si>
    <t>Fleet Electrification — Control Panel</t>
  </si>
  <si>
    <t>Adjust parameters below to update the decision tree instantly</t>
  </si>
  <si>
    <t>Parameter</t>
  </si>
  <si>
    <t>Value</t>
  </si>
  <si>
    <t>Units</t>
  </si>
  <si>
    <t>Notes</t>
  </si>
  <si>
    <t>EV Vehicle Cost</t>
  </si>
  <si>
    <t>$</t>
  </si>
  <si>
    <t>Purchase cost per electric vehicle</t>
  </si>
  <si>
    <t>Diesel Vehicle Cost</t>
  </si>
  <si>
    <t>Purchase cost per diesel vehicle</t>
  </si>
  <si>
    <t>Fuel Cost per Mile</t>
  </si>
  <si>
    <t>$/mi</t>
  </si>
  <si>
    <t>Diesel fuel cost per mile driven</t>
  </si>
  <si>
    <t>Electricity Cost per Mile</t>
  </si>
  <si>
    <t>Electricity cost per mile for EV</t>
  </si>
  <si>
    <t>Fleet Size</t>
  </si>
  <si>
    <t>vehicles</t>
  </si>
  <si>
    <t>Total number of vehicles in fleet</t>
  </si>
  <si>
    <t>Annual Miles per Vehicle</t>
  </si>
  <si>
    <t>mi/yr</t>
  </si>
  <si>
    <t>Average annual miles per vehicle</t>
  </si>
  <si>
    <t>Maintenance Savings per EV</t>
  </si>
  <si>
    <t>$/yr</t>
  </si>
  <si>
    <t>Annual maintenance savings per EV vs diesel</t>
  </si>
  <si>
    <t>Government Incentive per Vehicle</t>
  </si>
  <si>
    <t>Tax credit / rebate per EV purchase</t>
  </si>
  <si>
    <t>EV Resale Value (5 yr)</t>
  </si>
  <si>
    <t>Expected resale value per EV at year 5</t>
  </si>
  <si>
    <t>Diesel Resale Value (5 yr)</t>
  </si>
  <si>
    <t>Expected resale value per diesel at year 5</t>
  </si>
  <si>
    <t>Analysis Period</t>
  </si>
  <si>
    <t>years</t>
  </si>
  <si>
    <t>Time horizon for NPV calculation</t>
  </si>
  <si>
    <t>Fuel Price Increase Rate</t>
  </si>
  <si>
    <t>%/yr</t>
  </si>
  <si>
    <t>Annual fuel price escalation rate</t>
  </si>
  <si>
    <t>Fleet Electrification</t>
  </si>
  <si>
    <t>ModelChoice Example Model — Control Panel Demo</t>
  </si>
  <si>
    <t>Background</t>
  </si>
  <si>
    <t>A logistics company operates a fleet of 100 diesel vehicles and must decide</t>
  </si>
  <si>
    <t>whether to transition to electric vehicles. With rising fuel costs, tightening</t>
  </si>
  <si>
    <t>emissions regulations, and improving EV technology, the company faces a</t>
  </si>
  <si>
    <t>critical strategic decision about its fleet composition. Options include:</t>
  </si>
  <si>
    <t xml:space="preserve">  1. Full EV conversion — replace entire fleet with electric vehicles</t>
  </si>
  <si>
    <t xml:space="preserve">  2. Phased conversion — convert 50% first, then decide on the rest</t>
  </si>
  <si>
    <t xml:space="preserve">  3. Hybrid fleet — convert 30% to EV, keep 70% diesel</t>
  </si>
  <si>
    <t xml:space="preserve">  4. Keep diesel — maintain current fleet with minimal investment</t>
  </si>
  <si>
    <t>Control Panel Feature</t>
  </si>
  <si>
    <t>This example demonstrates the Control Panel feature. The tree sheet has a</t>
  </si>
  <si>
    <t>parameter table above the decision tree. Vehicle costs, operating costs, and</t>
  </si>
  <si>
    <t>fleet size are defined ONCE in the control panel and referenced by MULTIPLE</t>
  </si>
  <si>
    <t>branches in the tree. Changing a single parameter instantly updates all</t>
  </si>
  <si>
    <t>linked tree values and recalculates expected values.</t>
  </si>
  <si>
    <t>Key reused parameters:</t>
  </si>
  <si>
    <t xml:space="preserve">  • Fleet Size — scales purchase costs and operating savings in all paths</t>
  </si>
  <si>
    <t xml:space="preserve">  • EV Vehicle Cost — drives acquisition cost for full, phased, and hybrid</t>
  </si>
  <si>
    <t xml:space="preserve">  • Fuel/Electricity Cost per Mile — operating savings in every terminal value</t>
  </si>
  <si>
    <t xml:space="preserve">  • Annual Miles — multiplied across all operating cost calculations</t>
  </si>
  <si>
    <t xml:space="preserve">  • Government Incentive — reduces net purchase cost in all EV paths</t>
  </si>
  <si>
    <t>Try This</t>
  </si>
  <si>
    <t xml:space="preserve">  ▶ Increase Fuel Cost per Mile — watch EV options become more attractive</t>
  </si>
  <si>
    <t xml:space="preserve">  ▶ Reduce Government Incentive — see how subsidies affect the decision</t>
  </si>
  <si>
    <t xml:space="preserve">  ▶ Change Fleet Size — observe how scale affects all strategies</t>
  </si>
  <si>
    <t xml:space="preserve">  ▶ Run Sensitivity Analysis — tornado chart shows which parameters matter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</si>
</sst>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&quot;$&quot;#,##0"/>
    <numFmt numFmtId="167" formatCode="\$#,##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164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6D72CE56-A03E-7973-CB93-EE8E7D49F350}"/>
            </a:ext>
          </a:extLst>
        </xdr:cNvPr>
        <xdr:cNvCxnSpPr/>
      </xdr:nvCxnSpPr>
      <xdr:spPr>
        <a:xfrm>
          <a:off x="665163" y="5276850"/>
          <a:ext cx="166370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943656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2273C641-D7CD-64ED-C19C-78A5F2286B6B}"/>
            </a:ext>
          </a:extLst>
        </xdr:cNvPr>
        <xdr:cNvSpPr txBox="1"/>
      </xdr:nvSpPr>
      <xdr:spPr>
        <a:xfrm>
          <a:off x="665163" y="5185601"/>
          <a:ext cx="94365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Fleet Electrification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74841</xdr:colOff>
      <xdr:row>21</xdr:row>
      <xdr:rowOff>174625</xdr:rowOff>
    </xdr:from>
    <xdr:to>
      <xdr:col>3</xdr:col>
      <xdr:colOff>47626</xdr:colOff>
      <xdr:row>28</xdr:row>
      <xdr:rowOff>2291</xdr:rowOff>
    </xdr:to>
    <xdr:sp macro="" textlink="">
      <xdr:nvSpPr>
        <xdr:cNvPr id="19" name="MC_BR_D_root_C_fuel_full">
          <a:extLst>
            <a:ext uri="{FF2B5EF4-FFF2-40B4-BE49-F238E27FC236}">
              <a16:creationId xmlns:a16="http://schemas.microsoft.com/office/drawing/2014/main" id="{C2BBCBB0-1D4D-01AD-6C44-1706003A0714}"/>
            </a:ext>
          </a:extLst>
        </xdr:cNvPr>
        <xdr:cNvSpPr/>
      </xdr:nvSpPr>
      <xdr:spPr>
        <a:xfrm>
          <a:off x="2394179" y="4117975"/>
          <a:ext cx="2292122" cy="1161166"/>
        </a:xfrm>
        <a:custGeom>
          <a:avLst/>
          <a:gdLst/>
          <a:ahLst/>
          <a:cxnLst/>
          <a:rect l="0" t="0" r="0" b="0"/>
          <a:pathLst>
            <a:path w="2292122" h="1161166">
              <a:moveTo>
                <a:pt x="0" y="1156585"/>
              </a:moveTo>
              <a:lnTo>
                <a:pt x="166625" y="13585"/>
              </a:lnTo>
              <a:lnTo>
                <a:pt x="182334" y="0"/>
              </a:lnTo>
              <a:lnTo>
                <a:pt x="2292121" y="0"/>
              </a:lnTo>
              <a:lnTo>
                <a:pt x="2292121" y="31750"/>
              </a:lnTo>
              <a:lnTo>
                <a:pt x="182334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933461" cy="182550"/>
    <xdr:sp macro="_xll.MC_OnBranchLabelClick" textlink="">
      <xdr:nvSpPr>
        <xdr:cNvPr id="20" name="MC_BN_D_root_C_fuel_full">
          <a:extLst>
            <a:ext uri="{FF2B5EF4-FFF2-40B4-BE49-F238E27FC236}">
              <a16:creationId xmlns:a16="http://schemas.microsoft.com/office/drawing/2014/main" id="{2EDD8030-D77A-17DE-EE4C-5420E4EA621F}"/>
            </a:ext>
          </a:extLst>
        </xdr:cNvPr>
        <xdr:cNvSpPr txBox="1"/>
      </xdr:nvSpPr>
      <xdr:spPr>
        <a:xfrm>
          <a:off x="2605723" y="4042601"/>
          <a:ext cx="9334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Full EV Conversion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84238</xdr:colOff>
      <xdr:row>27</xdr:row>
      <xdr:rowOff>189810</xdr:rowOff>
    </xdr:from>
    <xdr:to>
      <xdr:col>3</xdr:col>
      <xdr:colOff>47626</xdr:colOff>
      <xdr:row>36</xdr:row>
      <xdr:rowOff>6351</xdr:rowOff>
    </xdr:to>
    <xdr:sp macro="" textlink="">
      <xdr:nvSpPr>
        <xdr:cNvPr id="21" name="MC_BR_D_root_C_phase1">
          <a:extLst>
            <a:ext uri="{FF2B5EF4-FFF2-40B4-BE49-F238E27FC236}">
              <a16:creationId xmlns:a16="http://schemas.microsoft.com/office/drawing/2014/main" id="{7E857489-9522-D4B9-BB48-36B1B32F5274}"/>
            </a:ext>
          </a:extLst>
        </xdr:cNvPr>
        <xdr:cNvSpPr/>
      </xdr:nvSpPr>
      <xdr:spPr>
        <a:xfrm>
          <a:off x="2403576" y="5276160"/>
          <a:ext cx="2282725" cy="1531041"/>
        </a:xfrm>
        <a:custGeom>
          <a:avLst/>
          <a:gdLst/>
          <a:ahLst/>
          <a:cxnLst/>
          <a:rect l="0" t="0" r="0" b="0"/>
          <a:pathLst>
            <a:path w="2282725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2282724" y="1518340"/>
              </a:lnTo>
              <a:lnTo>
                <a:pt x="2282724" y="1531040"/>
              </a:lnTo>
              <a:lnTo>
                <a:pt x="172937" y="1531040"/>
              </a:lnTo>
              <a:lnTo>
                <a:pt x="166624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35</xdr:row>
      <xdr:rowOff>99251</xdr:rowOff>
    </xdr:from>
    <xdr:ext cx="1253100" cy="182550"/>
    <xdr:sp macro="_xll.MC_OnBranchLabelClick" textlink="">
      <xdr:nvSpPr>
        <xdr:cNvPr id="22" name="MC_BN_D_root_C_phase1">
          <a:extLst>
            <a:ext uri="{FF2B5EF4-FFF2-40B4-BE49-F238E27FC236}">
              <a16:creationId xmlns:a16="http://schemas.microsoft.com/office/drawing/2014/main" id="{42F5EDA4-BD64-9D51-4D98-8F7B6E3B4964}"/>
            </a:ext>
          </a:extLst>
        </xdr:cNvPr>
        <xdr:cNvSpPr txBox="1"/>
      </xdr:nvSpPr>
      <xdr:spPr>
        <a:xfrm>
          <a:off x="2605723" y="6709601"/>
          <a:ext cx="12531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Phased Conversion (50%)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84213</xdr:colOff>
      <xdr:row>27</xdr:row>
      <xdr:rowOff>190104</xdr:rowOff>
    </xdr:from>
    <xdr:to>
      <xdr:col>3</xdr:col>
      <xdr:colOff>47626</xdr:colOff>
      <xdr:row>42</xdr:row>
      <xdr:rowOff>6351</xdr:rowOff>
    </xdr:to>
    <xdr:sp macro="" textlink="">
      <xdr:nvSpPr>
        <xdr:cNvPr id="23" name="MC_BR_D_root_C_hybrid">
          <a:extLst>
            <a:ext uri="{FF2B5EF4-FFF2-40B4-BE49-F238E27FC236}">
              <a16:creationId xmlns:a16="http://schemas.microsoft.com/office/drawing/2014/main" id="{0BD6E9D7-FAB3-8F81-5941-496039E64389}"/>
            </a:ext>
          </a:extLst>
        </xdr:cNvPr>
        <xdr:cNvSpPr/>
      </xdr:nvSpPr>
      <xdr:spPr>
        <a:xfrm>
          <a:off x="2403551" y="5276454"/>
          <a:ext cx="2282750" cy="2673747"/>
        </a:xfrm>
        <a:custGeom>
          <a:avLst/>
          <a:gdLst/>
          <a:ahLst/>
          <a:cxnLst/>
          <a:rect l="0" t="0" r="0" b="0"/>
          <a:pathLst>
            <a:path w="2282750" h="2673747">
              <a:moveTo>
                <a:pt x="12675" y="0"/>
              </a:moveTo>
              <a:lnTo>
                <a:pt x="179299" y="2667000"/>
              </a:lnTo>
              <a:lnTo>
                <a:pt x="172962" y="2661046"/>
              </a:lnTo>
              <a:lnTo>
                <a:pt x="2282749" y="2661046"/>
              </a:lnTo>
              <a:lnTo>
                <a:pt x="2282749" y="2673746"/>
              </a:lnTo>
              <a:lnTo>
                <a:pt x="172962" y="2673746"/>
              </a:lnTo>
              <a:lnTo>
                <a:pt x="166624" y="2667792"/>
              </a:lnTo>
              <a:lnTo>
                <a:pt x="0" y="7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41</xdr:row>
      <xdr:rowOff>99251</xdr:rowOff>
    </xdr:from>
    <xdr:ext cx="1076064" cy="182550"/>
    <xdr:sp macro="_xll.MC_OnBranchLabelClick" textlink="">
      <xdr:nvSpPr>
        <xdr:cNvPr id="24" name="MC_BN_D_root_C_hybrid">
          <a:extLst>
            <a:ext uri="{FF2B5EF4-FFF2-40B4-BE49-F238E27FC236}">
              <a16:creationId xmlns:a16="http://schemas.microsoft.com/office/drawing/2014/main" id="{FD9CFD28-BB44-379D-F0CD-CC7DAA740D66}"/>
            </a:ext>
          </a:extLst>
        </xdr:cNvPr>
        <xdr:cNvSpPr txBox="1"/>
      </xdr:nvSpPr>
      <xdr:spPr>
        <a:xfrm>
          <a:off x="2605723" y="7852601"/>
          <a:ext cx="10760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Hybrid Fleet (30% EV)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84207</xdr:colOff>
      <xdr:row>27</xdr:row>
      <xdr:rowOff>190222</xdr:rowOff>
    </xdr:from>
    <xdr:to>
      <xdr:col>3</xdr:col>
      <xdr:colOff>47626</xdr:colOff>
      <xdr:row>48</xdr:row>
      <xdr:rowOff>6351</xdr:rowOff>
    </xdr:to>
    <xdr:sp macro="" textlink="">
      <xdr:nvSpPr>
        <xdr:cNvPr id="25" name="MC_BR_D_root_C_diesel">
          <a:extLst>
            <a:ext uri="{FF2B5EF4-FFF2-40B4-BE49-F238E27FC236}">
              <a16:creationId xmlns:a16="http://schemas.microsoft.com/office/drawing/2014/main" id="{511120F3-FA1C-8AC1-8CF6-705749EDE32D}"/>
            </a:ext>
          </a:extLst>
        </xdr:cNvPr>
        <xdr:cNvSpPr/>
      </xdr:nvSpPr>
      <xdr:spPr>
        <a:xfrm>
          <a:off x="2403545" y="5276572"/>
          <a:ext cx="2282756" cy="3816629"/>
        </a:xfrm>
        <a:custGeom>
          <a:avLst/>
          <a:gdLst/>
          <a:ahLst/>
          <a:cxnLst/>
          <a:rect l="0" t="0" r="0" b="0"/>
          <a:pathLst>
            <a:path w="2282756" h="3816629">
              <a:moveTo>
                <a:pt x="12687" y="0"/>
              </a:moveTo>
              <a:lnTo>
                <a:pt x="179311" y="3810000"/>
              </a:lnTo>
              <a:lnTo>
                <a:pt x="172968" y="3803928"/>
              </a:lnTo>
              <a:lnTo>
                <a:pt x="2282755" y="3803928"/>
              </a:lnTo>
              <a:lnTo>
                <a:pt x="2282755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47</xdr:row>
      <xdr:rowOff>99251</xdr:rowOff>
    </xdr:from>
    <xdr:ext cx="865173" cy="182550"/>
    <xdr:sp macro="_xll.MC_OnBranchLabelClick" textlink="">
      <xdr:nvSpPr>
        <xdr:cNvPr id="26" name="MC_BN_D_root_C_diesel">
          <a:extLst>
            <a:ext uri="{FF2B5EF4-FFF2-40B4-BE49-F238E27FC236}">
              <a16:creationId xmlns:a16="http://schemas.microsoft.com/office/drawing/2014/main" id="{7A9F69A7-D24B-FDD6-97A5-1BC38BD59B71}"/>
            </a:ext>
          </a:extLst>
        </xdr:cNvPr>
        <xdr:cNvSpPr txBox="1"/>
      </xdr:nvSpPr>
      <xdr:spPr>
        <a:xfrm>
          <a:off x="2605723" y="8995601"/>
          <a:ext cx="8651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Keep Diesel Fleet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19</xdr:row>
      <xdr:rowOff>174625</xdr:rowOff>
    </xdr:from>
    <xdr:to>
      <xdr:col>4</xdr:col>
      <xdr:colOff>47626</xdr:colOff>
      <xdr:row>22</xdr:row>
      <xdr:rowOff>6362</xdr:rowOff>
    </xdr:to>
    <xdr:sp macro="" textlink="">
      <xdr:nvSpPr>
        <xdr:cNvPr id="27" name="MC_BR_C_fuel_full_T_full_rise">
          <a:extLst>
            <a:ext uri="{FF2B5EF4-FFF2-40B4-BE49-F238E27FC236}">
              <a16:creationId xmlns:a16="http://schemas.microsoft.com/office/drawing/2014/main" id="{B5683B6B-9E8C-B5F2-98EA-BAB09C121600}"/>
            </a:ext>
          </a:extLst>
        </xdr:cNvPr>
        <xdr:cNvSpPr/>
      </xdr:nvSpPr>
      <xdr:spPr>
        <a:xfrm>
          <a:off x="4714681" y="3736975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2" y="0"/>
              </a:lnTo>
              <a:lnTo>
                <a:pt x="25290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19</xdr:row>
      <xdr:rowOff>99251</xdr:rowOff>
    </xdr:from>
    <xdr:ext cx="802207" cy="182550"/>
    <xdr:sp macro="_xll.MC_OnBranchLabelClick" textlink="">
      <xdr:nvSpPr>
        <xdr:cNvPr id="28" name="MC_BN_C_fuel_full_T_full_rise">
          <a:extLst>
            <a:ext uri="{FF2B5EF4-FFF2-40B4-BE49-F238E27FC236}">
              <a16:creationId xmlns:a16="http://schemas.microsoft.com/office/drawing/2014/main" id="{D7D4566B-8A67-8DFF-80CF-2BEA430E32D0}"/>
            </a:ext>
          </a:extLst>
        </xdr:cNvPr>
        <xdr:cNvSpPr txBox="1"/>
      </xdr:nvSpPr>
      <xdr:spPr>
        <a:xfrm>
          <a:off x="4925060" y="3661601"/>
          <a:ext cx="8022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Fuel Prices Rise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21</xdr:row>
      <xdr:rowOff>184139</xdr:rowOff>
    </xdr:from>
    <xdr:to>
      <xdr:col>4</xdr:col>
      <xdr:colOff>47626</xdr:colOff>
      <xdr:row>24</xdr:row>
      <xdr:rowOff>15876</xdr:rowOff>
    </xdr:to>
    <xdr:sp macro="" textlink="">
      <xdr:nvSpPr>
        <xdr:cNvPr id="29" name="MC_BR_C_fuel_full_T_full_stable">
          <a:extLst>
            <a:ext uri="{FF2B5EF4-FFF2-40B4-BE49-F238E27FC236}">
              <a16:creationId xmlns:a16="http://schemas.microsoft.com/office/drawing/2014/main" id="{F7A4A590-B1F1-DA18-7B86-6FEA0C6099A3}"/>
            </a:ext>
          </a:extLst>
        </xdr:cNvPr>
        <xdr:cNvSpPr/>
      </xdr:nvSpPr>
      <xdr:spPr>
        <a:xfrm>
          <a:off x="4714681" y="4127489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529082" y="371486"/>
              </a:lnTo>
              <a:lnTo>
                <a:pt x="25290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23</xdr:row>
      <xdr:rowOff>99251</xdr:rowOff>
    </xdr:from>
    <xdr:ext cx="887935" cy="182550"/>
    <xdr:sp macro="_xll.MC_OnBranchLabelClick" textlink="">
      <xdr:nvSpPr>
        <xdr:cNvPr id="30" name="MC_BN_C_fuel_full_T_full_stable">
          <a:extLst>
            <a:ext uri="{FF2B5EF4-FFF2-40B4-BE49-F238E27FC236}">
              <a16:creationId xmlns:a16="http://schemas.microsoft.com/office/drawing/2014/main" id="{2FE64CD3-91AC-DC6D-BFF6-29E0261B4CA8}"/>
            </a:ext>
          </a:extLst>
        </xdr:cNvPr>
        <xdr:cNvSpPr txBox="1"/>
      </xdr:nvSpPr>
      <xdr:spPr>
        <a:xfrm>
          <a:off x="4925060" y="4423601"/>
          <a:ext cx="8879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Fuel Prices Stable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21</xdr:row>
      <xdr:rowOff>187109</xdr:rowOff>
    </xdr:from>
    <xdr:to>
      <xdr:col>4</xdr:col>
      <xdr:colOff>47626</xdr:colOff>
      <xdr:row>26</xdr:row>
      <xdr:rowOff>15876</xdr:rowOff>
    </xdr:to>
    <xdr:sp macro="" textlink="">
      <xdr:nvSpPr>
        <xdr:cNvPr id="31" name="MC_BR_C_fuel_full_T_full_drop">
          <a:extLst>
            <a:ext uri="{FF2B5EF4-FFF2-40B4-BE49-F238E27FC236}">
              <a16:creationId xmlns:a16="http://schemas.microsoft.com/office/drawing/2014/main" id="{A682BD9F-7D75-6E81-D4F3-6AEAB6F56A83}"/>
            </a:ext>
          </a:extLst>
        </xdr:cNvPr>
        <xdr:cNvSpPr/>
      </xdr:nvSpPr>
      <xdr:spPr>
        <a:xfrm>
          <a:off x="4713717" y="4130459"/>
          <a:ext cx="2530047" cy="781267"/>
        </a:xfrm>
        <a:custGeom>
          <a:avLst/>
          <a:gdLst/>
          <a:ahLst/>
          <a:cxnLst/>
          <a:rect l="0" t="0" r="0" b="0"/>
          <a:pathLst>
            <a:path w="2530047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530046" y="749516"/>
              </a:lnTo>
              <a:lnTo>
                <a:pt x="2530046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819391" cy="182550"/>
    <xdr:sp macro="_xll.MC_OnBranchLabelClick" textlink="">
      <xdr:nvSpPr>
        <xdr:cNvPr id="32" name="MC_BN_C_fuel_full_T_full_drop">
          <a:extLst>
            <a:ext uri="{FF2B5EF4-FFF2-40B4-BE49-F238E27FC236}">
              <a16:creationId xmlns:a16="http://schemas.microsoft.com/office/drawing/2014/main" id="{A2FE5702-C405-BB9A-6699-3CCF6F3CC9D9}"/>
            </a:ext>
          </a:extLst>
        </xdr:cNvPr>
        <xdr:cNvSpPr txBox="1"/>
      </xdr:nvSpPr>
      <xdr:spPr>
        <a:xfrm>
          <a:off x="4925060" y="4804601"/>
          <a:ext cx="8193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Fuel Prices Drop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31</xdr:row>
      <xdr:rowOff>184150</xdr:rowOff>
    </xdr:from>
    <xdr:to>
      <xdr:col>4</xdr:col>
      <xdr:colOff>47626</xdr:colOff>
      <xdr:row>36</xdr:row>
      <xdr:rowOff>1358</xdr:rowOff>
    </xdr:to>
    <xdr:sp macro="" textlink="">
      <xdr:nvSpPr>
        <xdr:cNvPr id="33" name="MC_BR_C_phase1_D_phase2">
          <a:extLst>
            <a:ext uri="{FF2B5EF4-FFF2-40B4-BE49-F238E27FC236}">
              <a16:creationId xmlns:a16="http://schemas.microsoft.com/office/drawing/2014/main" id="{E87B3694-9B54-3F67-2E08-8D13BD9CDF3D}"/>
            </a:ext>
          </a:extLst>
        </xdr:cNvPr>
        <xdr:cNvSpPr/>
      </xdr:nvSpPr>
      <xdr:spPr>
        <a:xfrm>
          <a:off x="4723023" y="6032500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520740" y="0"/>
              </a:lnTo>
              <a:lnTo>
                <a:pt x="2520740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31</xdr:row>
      <xdr:rowOff>99251</xdr:rowOff>
    </xdr:from>
    <xdr:ext cx="864917" cy="182550"/>
    <xdr:sp macro="_xll.MC_OnBranchLabelClick" textlink="">
      <xdr:nvSpPr>
        <xdr:cNvPr id="34" name="MC_BN_C_phase1_D_phase2">
          <a:extLst>
            <a:ext uri="{FF2B5EF4-FFF2-40B4-BE49-F238E27FC236}">
              <a16:creationId xmlns:a16="http://schemas.microsoft.com/office/drawing/2014/main" id="{84F16DF6-6A5E-9CED-8BAA-07DFF503EB03}"/>
            </a:ext>
          </a:extLst>
        </xdr:cNvPr>
        <xdr:cNvSpPr txBox="1"/>
      </xdr:nvSpPr>
      <xdr:spPr>
        <a:xfrm>
          <a:off x="4925060" y="5947601"/>
          <a:ext cx="86491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EVs Perform Well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35</xdr:row>
      <xdr:rowOff>187956</xdr:rowOff>
    </xdr:from>
    <xdr:to>
      <xdr:col>4</xdr:col>
      <xdr:colOff>47626</xdr:colOff>
      <xdr:row>38</xdr:row>
      <xdr:rowOff>6351</xdr:rowOff>
    </xdr:to>
    <xdr:sp macro="" textlink="">
      <xdr:nvSpPr>
        <xdr:cNvPr id="35" name="MC_BR_C_phase1_T_phase_under">
          <a:extLst>
            <a:ext uri="{FF2B5EF4-FFF2-40B4-BE49-F238E27FC236}">
              <a16:creationId xmlns:a16="http://schemas.microsoft.com/office/drawing/2014/main" id="{25E3209C-8A1D-348B-541B-31AB2020608B}"/>
            </a:ext>
          </a:extLst>
        </xdr:cNvPr>
        <xdr:cNvSpPr/>
      </xdr:nvSpPr>
      <xdr:spPr>
        <a:xfrm>
          <a:off x="4723408" y="6798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37</xdr:row>
      <xdr:rowOff>99251</xdr:rowOff>
    </xdr:from>
    <xdr:ext cx="905056" cy="182550"/>
    <xdr:sp macro="_xll.MC_OnBranchLabelClick" textlink="">
      <xdr:nvSpPr>
        <xdr:cNvPr id="36" name="MC_BN_C_phase1_T_phase_under">
          <a:extLst>
            <a:ext uri="{FF2B5EF4-FFF2-40B4-BE49-F238E27FC236}">
              <a16:creationId xmlns:a16="http://schemas.microsoft.com/office/drawing/2014/main" id="{FECC6892-22CE-BC3D-29F3-02FBF9F58F60}"/>
            </a:ext>
          </a:extLst>
        </xdr:cNvPr>
        <xdr:cNvSpPr txBox="1"/>
      </xdr:nvSpPr>
      <xdr:spPr>
        <a:xfrm>
          <a:off x="4925060" y="7090601"/>
          <a:ext cx="90505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EVs Underperform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29</xdr:row>
      <xdr:rowOff>184150</xdr:rowOff>
    </xdr:from>
    <xdr:to>
      <xdr:col>5</xdr:col>
      <xdr:colOff>47626</xdr:colOff>
      <xdr:row>32</xdr:row>
      <xdr:rowOff>2545</xdr:rowOff>
    </xdr:to>
    <xdr:sp macro="" textlink="">
      <xdr:nvSpPr>
        <xdr:cNvPr id="37" name="MC_BR_D_phase2_T_phase_convert">
          <a:extLst>
            <a:ext uri="{FF2B5EF4-FFF2-40B4-BE49-F238E27FC236}">
              <a16:creationId xmlns:a16="http://schemas.microsoft.com/office/drawing/2014/main" id="{D0ED7BEC-3B4A-BA76-659D-5CA1EACD2844}"/>
            </a:ext>
          </a:extLst>
        </xdr:cNvPr>
        <xdr:cNvSpPr/>
      </xdr:nvSpPr>
      <xdr:spPr>
        <a:xfrm>
          <a:off x="7280870" y="5651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1167499" cy="182550"/>
    <xdr:sp macro="_xll.MC_OnBranchLabelClick" textlink="">
      <xdr:nvSpPr>
        <xdr:cNvPr id="38" name="MC_BN_D_phase2_T_phase_convert">
          <a:extLst>
            <a:ext uri="{FF2B5EF4-FFF2-40B4-BE49-F238E27FC236}">
              <a16:creationId xmlns:a16="http://schemas.microsoft.com/office/drawing/2014/main" id="{AF2D5125-28AF-C345-839E-A4069CCD7282}"/>
            </a:ext>
          </a:extLst>
        </xdr:cNvPr>
        <xdr:cNvSpPr txBox="1"/>
      </xdr:nvSpPr>
      <xdr:spPr>
        <a:xfrm>
          <a:off x="7482522" y="5566601"/>
          <a:ext cx="11674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Convert Remaining 50%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31</xdr:row>
      <xdr:rowOff>187956</xdr:rowOff>
    </xdr:from>
    <xdr:to>
      <xdr:col>5</xdr:col>
      <xdr:colOff>47626</xdr:colOff>
      <xdr:row>34</xdr:row>
      <xdr:rowOff>6351</xdr:rowOff>
    </xdr:to>
    <xdr:sp macro="" textlink="">
      <xdr:nvSpPr>
        <xdr:cNvPr id="39" name="MC_BR_D_phase2_T_phase_mixed">
          <a:extLst>
            <a:ext uri="{FF2B5EF4-FFF2-40B4-BE49-F238E27FC236}">
              <a16:creationId xmlns:a16="http://schemas.microsoft.com/office/drawing/2014/main" id="{489F7FDF-A797-F001-1B6B-06A3B72EDEF5}"/>
            </a:ext>
          </a:extLst>
        </xdr:cNvPr>
        <xdr:cNvSpPr/>
      </xdr:nvSpPr>
      <xdr:spPr>
        <a:xfrm>
          <a:off x="7280870" y="6036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819520" cy="182550"/>
    <xdr:sp macro="_xll.MC_OnBranchLabelClick" textlink="">
      <xdr:nvSpPr>
        <xdr:cNvPr id="40" name="MC_BN_D_phase2_T_phase_mixed">
          <a:extLst>
            <a:ext uri="{FF2B5EF4-FFF2-40B4-BE49-F238E27FC236}">
              <a16:creationId xmlns:a16="http://schemas.microsoft.com/office/drawing/2014/main" id="{1A061824-000E-779A-21D4-58353D178945}"/>
            </a:ext>
          </a:extLst>
        </xdr:cNvPr>
        <xdr:cNvSpPr txBox="1"/>
      </xdr:nvSpPr>
      <xdr:spPr>
        <a:xfrm>
          <a:off x="7482522" y="6328601"/>
          <a:ext cx="8195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Stay Mixed Fleet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39</xdr:row>
      <xdr:rowOff>184150</xdr:rowOff>
    </xdr:from>
    <xdr:to>
      <xdr:col>4</xdr:col>
      <xdr:colOff>47626</xdr:colOff>
      <xdr:row>42</xdr:row>
      <xdr:rowOff>2545</xdr:rowOff>
    </xdr:to>
    <xdr:sp macro="" textlink="">
      <xdr:nvSpPr>
        <xdr:cNvPr id="41" name="MC_BR_C_hybrid_T_hybrid_good">
          <a:extLst>
            <a:ext uri="{FF2B5EF4-FFF2-40B4-BE49-F238E27FC236}">
              <a16:creationId xmlns:a16="http://schemas.microsoft.com/office/drawing/2014/main" id="{66625EAA-2281-6B81-55B5-03727C88F7C1}"/>
            </a:ext>
          </a:extLst>
        </xdr:cNvPr>
        <xdr:cNvSpPr/>
      </xdr:nvSpPr>
      <xdr:spPr>
        <a:xfrm>
          <a:off x="4723408" y="7556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39</xdr:row>
      <xdr:rowOff>99251</xdr:rowOff>
    </xdr:from>
    <xdr:ext cx="1007905" cy="182550"/>
    <xdr:sp macro="_xll.MC_OnBranchLabelClick" textlink="">
      <xdr:nvSpPr>
        <xdr:cNvPr id="42" name="MC_BN_C_hybrid_T_hybrid_good">
          <a:extLst>
            <a:ext uri="{FF2B5EF4-FFF2-40B4-BE49-F238E27FC236}">
              <a16:creationId xmlns:a16="http://schemas.microsoft.com/office/drawing/2014/main" id="{A8D94D3B-E77A-5720-2D64-14304FC2AD33}"/>
            </a:ext>
          </a:extLst>
        </xdr:cNvPr>
        <xdr:cNvSpPr txBox="1"/>
      </xdr:nvSpPr>
      <xdr:spPr>
        <a:xfrm>
          <a:off x="4925060" y="7471601"/>
          <a:ext cx="10079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Good Operational Fit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41</xdr:row>
      <xdr:rowOff>187956</xdr:rowOff>
    </xdr:from>
    <xdr:to>
      <xdr:col>4</xdr:col>
      <xdr:colOff>47626</xdr:colOff>
      <xdr:row>44</xdr:row>
      <xdr:rowOff>6351</xdr:rowOff>
    </xdr:to>
    <xdr:sp macro="" textlink="">
      <xdr:nvSpPr>
        <xdr:cNvPr id="43" name="MC_BR_C_hybrid_T_hybrid_poor">
          <a:extLst>
            <a:ext uri="{FF2B5EF4-FFF2-40B4-BE49-F238E27FC236}">
              <a16:creationId xmlns:a16="http://schemas.microsoft.com/office/drawing/2014/main" id="{0A1B7913-F3E7-C64F-A1B2-CC3F897D2768}"/>
            </a:ext>
          </a:extLst>
        </xdr:cNvPr>
        <xdr:cNvSpPr/>
      </xdr:nvSpPr>
      <xdr:spPr>
        <a:xfrm>
          <a:off x="4723408" y="7941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43</xdr:row>
      <xdr:rowOff>99251</xdr:rowOff>
    </xdr:from>
    <xdr:ext cx="973600" cy="182550"/>
    <xdr:sp macro="_xll.MC_OnBranchLabelClick" textlink="">
      <xdr:nvSpPr>
        <xdr:cNvPr id="44" name="MC_BN_C_hybrid_T_hybrid_poor">
          <a:extLst>
            <a:ext uri="{FF2B5EF4-FFF2-40B4-BE49-F238E27FC236}">
              <a16:creationId xmlns:a16="http://schemas.microsoft.com/office/drawing/2014/main" id="{775E7F8F-89C4-2A08-6991-2AFCF43B0D75}"/>
            </a:ext>
          </a:extLst>
        </xdr:cNvPr>
        <xdr:cNvSpPr txBox="1"/>
      </xdr:nvSpPr>
      <xdr:spPr>
        <a:xfrm>
          <a:off x="4925060" y="8233601"/>
          <a:ext cx="9736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Poor Operational Fit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45</xdr:row>
      <xdr:rowOff>184150</xdr:rowOff>
    </xdr:from>
    <xdr:to>
      <xdr:col>4</xdr:col>
      <xdr:colOff>47626</xdr:colOff>
      <xdr:row>48</xdr:row>
      <xdr:rowOff>2545</xdr:rowOff>
    </xdr:to>
    <xdr:sp macro="" textlink="">
      <xdr:nvSpPr>
        <xdr:cNvPr id="45" name="MC_BR_C_diesel_T_diesel_ok">
          <a:extLst>
            <a:ext uri="{FF2B5EF4-FFF2-40B4-BE49-F238E27FC236}">
              <a16:creationId xmlns:a16="http://schemas.microsoft.com/office/drawing/2014/main" id="{71E5DF6A-2C6A-3DB0-EBC8-1D28A5EEF3F5}"/>
            </a:ext>
          </a:extLst>
        </xdr:cNvPr>
        <xdr:cNvSpPr/>
      </xdr:nvSpPr>
      <xdr:spPr>
        <a:xfrm>
          <a:off x="4723408" y="8699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45</xdr:row>
      <xdr:rowOff>99251</xdr:rowOff>
    </xdr:from>
    <xdr:ext cx="568810" cy="182550"/>
    <xdr:sp macro="_xll.MC_OnBranchLabelClick" textlink="">
      <xdr:nvSpPr>
        <xdr:cNvPr id="46" name="MC_BN_C_diesel_T_diesel_ok">
          <a:extLst>
            <a:ext uri="{FF2B5EF4-FFF2-40B4-BE49-F238E27FC236}">
              <a16:creationId xmlns:a16="http://schemas.microsoft.com/office/drawing/2014/main" id="{0D980792-47F4-2B54-1C70-3313689610A8}"/>
            </a:ext>
          </a:extLst>
        </xdr:cNvPr>
        <xdr:cNvSpPr txBox="1"/>
      </xdr:nvSpPr>
      <xdr:spPr>
        <a:xfrm>
          <a:off x="4925060" y="8614601"/>
          <a:ext cx="5688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Status Quo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47</xdr:row>
      <xdr:rowOff>187956</xdr:rowOff>
    </xdr:from>
    <xdr:to>
      <xdr:col>4</xdr:col>
      <xdr:colOff>47626</xdr:colOff>
      <xdr:row>50</xdr:row>
      <xdr:rowOff>6351</xdr:rowOff>
    </xdr:to>
    <xdr:sp macro="" textlink="">
      <xdr:nvSpPr>
        <xdr:cNvPr id="47" name="MC_BR_C_diesel_T_diesel_reg">
          <a:extLst>
            <a:ext uri="{FF2B5EF4-FFF2-40B4-BE49-F238E27FC236}">
              <a16:creationId xmlns:a16="http://schemas.microsoft.com/office/drawing/2014/main" id="{7162B24F-5A5F-4A77-09D5-DCDB2CD42FF4}"/>
            </a:ext>
          </a:extLst>
        </xdr:cNvPr>
        <xdr:cNvSpPr/>
      </xdr:nvSpPr>
      <xdr:spPr>
        <a:xfrm>
          <a:off x="4723408" y="9084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49</xdr:row>
      <xdr:rowOff>99251</xdr:rowOff>
    </xdr:from>
    <xdr:ext cx="985013" cy="182550"/>
    <xdr:sp macro="_xll.MC_OnBranchLabelClick" textlink="">
      <xdr:nvSpPr>
        <xdr:cNvPr id="48" name="MC_BN_C_diesel_T_diesel_reg">
          <a:extLst>
            <a:ext uri="{FF2B5EF4-FFF2-40B4-BE49-F238E27FC236}">
              <a16:creationId xmlns:a16="http://schemas.microsoft.com/office/drawing/2014/main" id="{11EF432C-6DF3-69F5-6351-D875BDD7D331}"/>
            </a:ext>
          </a:extLst>
        </xdr:cNvPr>
        <xdr:cNvSpPr txBox="1"/>
      </xdr:nvSpPr>
      <xdr:spPr>
        <a:xfrm>
          <a:off x="4925060" y="9376601"/>
          <a:ext cx="9850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Regulation Pressure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47</xdr:row>
      <xdr:rowOff>189143</xdr:rowOff>
    </xdr:from>
    <xdr:to>
      <xdr:col>4</xdr:col>
      <xdr:colOff>47626</xdr:colOff>
      <xdr:row>52</xdr:row>
      <xdr:rowOff>6351</xdr:rowOff>
    </xdr:to>
    <xdr:sp macro="" textlink="">
      <xdr:nvSpPr>
        <xdr:cNvPr id="49" name="MC_BR_C_diesel_T_diesel_crisis">
          <a:extLst>
            <a:ext uri="{FF2B5EF4-FFF2-40B4-BE49-F238E27FC236}">
              <a16:creationId xmlns:a16="http://schemas.microsoft.com/office/drawing/2014/main" id="{801A4BAA-B069-C3DF-B032-27965CE6F207}"/>
            </a:ext>
          </a:extLst>
        </xdr:cNvPr>
        <xdr:cNvSpPr/>
      </xdr:nvSpPr>
      <xdr:spPr>
        <a:xfrm>
          <a:off x="4723023" y="9085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51</xdr:row>
      <xdr:rowOff>99251</xdr:rowOff>
    </xdr:from>
    <xdr:ext cx="539828" cy="182550"/>
    <xdr:sp macro="_xll.MC_OnBranchLabelClick" textlink="">
      <xdr:nvSpPr>
        <xdr:cNvPr id="50" name="MC_BN_C_diesel_T_diesel_crisis">
          <a:extLst>
            <a:ext uri="{FF2B5EF4-FFF2-40B4-BE49-F238E27FC236}">
              <a16:creationId xmlns:a16="http://schemas.microsoft.com/office/drawing/2014/main" id="{8129B68C-63BB-C7C1-D189-3A32CE5BFFB6}"/>
            </a:ext>
          </a:extLst>
        </xdr:cNvPr>
        <xdr:cNvSpPr txBox="1"/>
      </xdr:nvSpPr>
      <xdr:spPr>
        <a:xfrm>
          <a:off x="4925060" y="9757601"/>
          <a:ext cx="5398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Fuel Crisis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51" name="MC_T_full_rise">
          <a:extLst>
            <a:ext uri="{FF2B5EF4-FFF2-40B4-BE49-F238E27FC236}">
              <a16:creationId xmlns:a16="http://schemas.microsoft.com/office/drawing/2014/main" id="{39AE1355-A183-6250-92FC-68E3E5D5DC06}"/>
            </a:ext>
          </a:extLst>
        </xdr:cNvPr>
        <xdr:cNvSpPr/>
      </xdr:nvSpPr>
      <xdr:spPr>
        <a:xfrm rot="16200000">
          <a:off x="7205663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52" name="MC_C_fuel_full">
          <a:extLst>
            <a:ext uri="{FF2B5EF4-FFF2-40B4-BE49-F238E27FC236}">
              <a16:creationId xmlns:a16="http://schemas.microsoft.com/office/drawing/2014/main" id="{0CA57305-AB93-BAB0-8595-AB58AC389F74}"/>
            </a:ext>
          </a:extLst>
        </xdr:cNvPr>
        <xdr:cNvSpPr/>
      </xdr:nvSpPr>
      <xdr:spPr>
        <a:xfrm>
          <a:off x="4648200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53" name="MC_T_full_stable">
          <a:extLst>
            <a:ext uri="{FF2B5EF4-FFF2-40B4-BE49-F238E27FC236}">
              <a16:creationId xmlns:a16="http://schemas.microsoft.com/office/drawing/2014/main" id="{9D625066-01C0-771D-42EF-C9F756E5BB03}"/>
            </a:ext>
          </a:extLst>
        </xdr:cNvPr>
        <xdr:cNvSpPr/>
      </xdr:nvSpPr>
      <xdr:spPr>
        <a:xfrm rot="16200000">
          <a:off x="7205663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54" name="MC_T_full_drop">
          <a:extLst>
            <a:ext uri="{FF2B5EF4-FFF2-40B4-BE49-F238E27FC236}">
              <a16:creationId xmlns:a16="http://schemas.microsoft.com/office/drawing/2014/main" id="{9E8458CA-6AAA-4CFD-1F08-22558542F08F}"/>
            </a:ext>
          </a:extLst>
        </xdr:cNvPr>
        <xdr:cNvSpPr/>
      </xdr:nvSpPr>
      <xdr:spPr>
        <a:xfrm rot="16200000">
          <a:off x="7205663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55" name="MC_D_root">
          <a:extLst>
            <a:ext uri="{FF2B5EF4-FFF2-40B4-BE49-F238E27FC236}">
              <a16:creationId xmlns:a16="http://schemas.microsoft.com/office/drawing/2014/main" id="{08360BF9-8C78-141A-47D2-7185E557BA42}"/>
            </a:ext>
          </a:extLst>
        </xdr:cNvPr>
        <xdr:cNvSpPr/>
      </xdr:nvSpPr>
      <xdr:spPr>
        <a:xfrm>
          <a:off x="2328863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56" name="MC_T_phase_convert">
          <a:extLst>
            <a:ext uri="{FF2B5EF4-FFF2-40B4-BE49-F238E27FC236}">
              <a16:creationId xmlns:a16="http://schemas.microsoft.com/office/drawing/2014/main" id="{610B3040-3E61-E66F-D33D-E8C41EB89A61}"/>
            </a:ext>
          </a:extLst>
        </xdr:cNvPr>
        <xdr:cNvSpPr/>
      </xdr:nvSpPr>
      <xdr:spPr>
        <a:xfrm rot="16200000">
          <a:off x="9677400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57" name="MC_D_phase2">
          <a:extLst>
            <a:ext uri="{FF2B5EF4-FFF2-40B4-BE49-F238E27FC236}">
              <a16:creationId xmlns:a16="http://schemas.microsoft.com/office/drawing/2014/main" id="{B130A03E-3AFA-C5B9-08AA-6EB562386166}"/>
            </a:ext>
          </a:extLst>
        </xdr:cNvPr>
        <xdr:cNvSpPr/>
      </xdr:nvSpPr>
      <xdr:spPr>
        <a:xfrm>
          <a:off x="7205663" y="5957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58" name="MC_T_phase_mixed">
          <a:extLst>
            <a:ext uri="{FF2B5EF4-FFF2-40B4-BE49-F238E27FC236}">
              <a16:creationId xmlns:a16="http://schemas.microsoft.com/office/drawing/2014/main" id="{3E9045AC-5597-41AF-305D-253720A2E413}"/>
            </a:ext>
          </a:extLst>
        </xdr:cNvPr>
        <xdr:cNvSpPr/>
      </xdr:nvSpPr>
      <xdr:spPr>
        <a:xfrm rot="16200000">
          <a:off x="9677400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35</xdr:row>
      <xdr:rowOff>109538</xdr:rowOff>
    </xdr:from>
    <xdr:to>
      <xdr:col>3</xdr:col>
      <xdr:colOff>180975</xdr:colOff>
      <xdr:row>36</xdr:row>
      <xdr:rowOff>80963</xdr:rowOff>
    </xdr:to>
    <xdr:sp macro="_xll.MC_OnNodeClick" textlink="">
      <xdr:nvSpPr>
        <xdr:cNvPr id="59" name="MC_C_phase1">
          <a:extLst>
            <a:ext uri="{FF2B5EF4-FFF2-40B4-BE49-F238E27FC236}">
              <a16:creationId xmlns:a16="http://schemas.microsoft.com/office/drawing/2014/main" id="{CD7515A1-C0FA-DB16-7004-E983FDAC2624}"/>
            </a:ext>
          </a:extLst>
        </xdr:cNvPr>
        <xdr:cNvSpPr/>
      </xdr:nvSpPr>
      <xdr:spPr>
        <a:xfrm>
          <a:off x="4648200" y="671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60" name="MC_T_phase_under">
          <a:extLst>
            <a:ext uri="{FF2B5EF4-FFF2-40B4-BE49-F238E27FC236}">
              <a16:creationId xmlns:a16="http://schemas.microsoft.com/office/drawing/2014/main" id="{8BB1C394-9344-0193-1803-E75509B370B9}"/>
            </a:ext>
          </a:extLst>
        </xdr:cNvPr>
        <xdr:cNvSpPr/>
      </xdr:nvSpPr>
      <xdr:spPr>
        <a:xfrm rot="16200000">
          <a:off x="7205663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39</xdr:row>
      <xdr:rowOff>109537</xdr:rowOff>
    </xdr:from>
    <xdr:to>
      <xdr:col>4</xdr:col>
      <xdr:colOff>176213</xdr:colOff>
      <xdr:row>40</xdr:row>
      <xdr:rowOff>80962</xdr:rowOff>
    </xdr:to>
    <xdr:sp macro="_xll.MC_OnNodeClick" textlink="">
      <xdr:nvSpPr>
        <xdr:cNvPr id="61" name="MC_T_hybrid_good">
          <a:extLst>
            <a:ext uri="{FF2B5EF4-FFF2-40B4-BE49-F238E27FC236}">
              <a16:creationId xmlns:a16="http://schemas.microsoft.com/office/drawing/2014/main" id="{5AFE4836-0A2E-1F57-B39A-6B4556FB2439}"/>
            </a:ext>
          </a:extLst>
        </xdr:cNvPr>
        <xdr:cNvSpPr/>
      </xdr:nvSpPr>
      <xdr:spPr>
        <a:xfrm rot="16200000">
          <a:off x="7205663" y="747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41</xdr:row>
      <xdr:rowOff>109538</xdr:rowOff>
    </xdr:from>
    <xdr:to>
      <xdr:col>3</xdr:col>
      <xdr:colOff>180975</xdr:colOff>
      <xdr:row>42</xdr:row>
      <xdr:rowOff>80963</xdr:rowOff>
    </xdr:to>
    <xdr:sp macro="_xll.MC_OnNodeClick" textlink="">
      <xdr:nvSpPr>
        <xdr:cNvPr id="62" name="MC_C_hybrid">
          <a:extLst>
            <a:ext uri="{FF2B5EF4-FFF2-40B4-BE49-F238E27FC236}">
              <a16:creationId xmlns:a16="http://schemas.microsoft.com/office/drawing/2014/main" id="{ACC0B445-B389-D23C-769F-73838BCE11A4}"/>
            </a:ext>
          </a:extLst>
        </xdr:cNvPr>
        <xdr:cNvSpPr/>
      </xdr:nvSpPr>
      <xdr:spPr>
        <a:xfrm>
          <a:off x="4648200" y="786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63" name="MC_T_hybrid_poor">
          <a:extLst>
            <a:ext uri="{FF2B5EF4-FFF2-40B4-BE49-F238E27FC236}">
              <a16:creationId xmlns:a16="http://schemas.microsoft.com/office/drawing/2014/main" id="{D543EE46-5919-2282-C1F3-130773966035}"/>
            </a:ext>
          </a:extLst>
        </xdr:cNvPr>
        <xdr:cNvSpPr/>
      </xdr:nvSpPr>
      <xdr:spPr>
        <a:xfrm rot="16200000">
          <a:off x="7205663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45</xdr:row>
      <xdr:rowOff>109537</xdr:rowOff>
    </xdr:from>
    <xdr:to>
      <xdr:col>4</xdr:col>
      <xdr:colOff>176213</xdr:colOff>
      <xdr:row>46</xdr:row>
      <xdr:rowOff>80962</xdr:rowOff>
    </xdr:to>
    <xdr:sp macro="_xll.MC_OnNodeClick" textlink="">
      <xdr:nvSpPr>
        <xdr:cNvPr id="64" name="MC_T_diesel_ok">
          <a:extLst>
            <a:ext uri="{FF2B5EF4-FFF2-40B4-BE49-F238E27FC236}">
              <a16:creationId xmlns:a16="http://schemas.microsoft.com/office/drawing/2014/main" id="{7403972C-1CA5-A3D4-7096-8CAF4E62E8B0}"/>
            </a:ext>
          </a:extLst>
        </xdr:cNvPr>
        <xdr:cNvSpPr/>
      </xdr:nvSpPr>
      <xdr:spPr>
        <a:xfrm rot="16200000">
          <a:off x="720566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47</xdr:row>
      <xdr:rowOff>109538</xdr:rowOff>
    </xdr:from>
    <xdr:to>
      <xdr:col>3</xdr:col>
      <xdr:colOff>180975</xdr:colOff>
      <xdr:row>48</xdr:row>
      <xdr:rowOff>80963</xdr:rowOff>
    </xdr:to>
    <xdr:sp macro="_xll.MC_OnNodeClick" textlink="">
      <xdr:nvSpPr>
        <xdr:cNvPr id="65" name="MC_C_diesel">
          <a:extLst>
            <a:ext uri="{FF2B5EF4-FFF2-40B4-BE49-F238E27FC236}">
              <a16:creationId xmlns:a16="http://schemas.microsoft.com/office/drawing/2014/main" id="{A2F8C898-BC28-C4C9-5C7E-687E292E11D2}"/>
            </a:ext>
          </a:extLst>
        </xdr:cNvPr>
        <xdr:cNvSpPr/>
      </xdr:nvSpPr>
      <xdr:spPr>
        <a:xfrm>
          <a:off x="4648200" y="900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66" name="MC_T_diesel_reg">
          <a:extLst>
            <a:ext uri="{FF2B5EF4-FFF2-40B4-BE49-F238E27FC236}">
              <a16:creationId xmlns:a16="http://schemas.microsoft.com/office/drawing/2014/main" id="{4D17CEAF-21D5-BAEB-DAD2-C19D3DA03C37}"/>
            </a:ext>
          </a:extLst>
        </xdr:cNvPr>
        <xdr:cNvSpPr/>
      </xdr:nvSpPr>
      <xdr:spPr>
        <a:xfrm rot="16200000">
          <a:off x="7205663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51</xdr:row>
      <xdr:rowOff>109537</xdr:rowOff>
    </xdr:from>
    <xdr:to>
      <xdr:col>4</xdr:col>
      <xdr:colOff>176213</xdr:colOff>
      <xdr:row>52</xdr:row>
      <xdr:rowOff>80962</xdr:rowOff>
    </xdr:to>
    <xdr:sp macro="_xll.MC_OnNodeClick" textlink="">
      <xdr:nvSpPr>
        <xdr:cNvPr id="67" name="MC_T_diesel_crisis">
          <a:extLst>
            <a:ext uri="{FF2B5EF4-FFF2-40B4-BE49-F238E27FC236}">
              <a16:creationId xmlns:a16="http://schemas.microsoft.com/office/drawing/2014/main" id="{956BFE93-A0CE-39D1-5AD6-42780DA11387}"/>
            </a:ext>
          </a:extLst>
        </xdr:cNvPr>
        <xdr:cNvSpPr/>
      </xdr:nvSpPr>
      <xdr:spPr>
        <a:xfrm rot="16200000">
          <a:off x="7205663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0101-8195-4E51-A5EE-DD7C170E0F71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9CECC-DA78-44F6-9E1E-C21297523A9A}">
  <dimension ref="A1:AK1"/>
  <sheetViews>
    <sheetView workbookViewId="0"/>
  </sheetViews>
  <sheetFormatPr defaultRowHeight="14.25" x14ac:dyDescent="0.45"/>
  <sheetData>
    <row r="1" spans="1:37" x14ac:dyDescent="0.45">
      <c r="A1">
        <f>MC_Tree_1!MC_BP_C_diesel_T_diesel_ok</f>
        <v>0.4</v>
      </c>
      <c r="B1">
        <f>MC_Tree_1!MC_BV_C_diesel_T_diesel_ok</f>
        <v>1187500</v>
      </c>
      <c r="C1">
        <f>MC_Tree_1!MC_BP_C_diesel_T_diesel_reg</f>
        <v>0.35</v>
      </c>
      <c r="D1">
        <f>MC_Tree_1!MC_BV_C_diesel_T_diesel_reg</f>
        <v>875000</v>
      </c>
      <c r="E1">
        <f>MC_Tree_1!MC_BP_C_diesel_T_diesel_crisis</f>
        <v>0.25</v>
      </c>
      <c r="F1">
        <f>MC_Tree_1!MC_BV_C_diesel_T_diesel_crisis</f>
        <v>-62500</v>
      </c>
      <c r="G1">
        <f>MC_Tree_1!MC_BP_C_fuel_full_T_full_rise</f>
        <v>0.45</v>
      </c>
      <c r="H1">
        <f>MC_Tree_1!MC_BV_C_fuel_full_T_full_rise</f>
        <v>6106250</v>
      </c>
      <c r="I1">
        <f>MC_Tree_1!MC_BP_C_fuel_full_T_full_stable</f>
        <v>0.35</v>
      </c>
      <c r="J1">
        <f>MC_Tree_1!MC_BV_C_fuel_full_T_full_stable</f>
        <v>5575000</v>
      </c>
      <c r="K1">
        <f>MC_Tree_1!MC_BP_C_fuel_full_T_full_drop</f>
        <v>0.2</v>
      </c>
      <c r="L1">
        <f>MC_Tree_1!MC_BV_C_fuel_full_T_full_drop</f>
        <v>5043750</v>
      </c>
      <c r="M1">
        <f>MC_Tree_1!MC_BP_C_hybrid_T_hybrid_good</f>
        <v>0.55000000000000004</v>
      </c>
      <c r="N1">
        <f>MC_Tree_1!MC_BV_C_hybrid_T_hybrid_good</f>
        <v>2722500</v>
      </c>
      <c r="O1">
        <f>MC_Tree_1!MC_BP_C_hybrid_T_hybrid_poor</f>
        <v>0.45</v>
      </c>
      <c r="P1">
        <f>MC_Tree_1!MC_BV_C_hybrid_T_hybrid_poor</f>
        <v>2216250</v>
      </c>
      <c r="Q1">
        <f>MC_Tree_1!MC_BP_C_phase1_D_phase2</f>
        <v>0.6</v>
      </c>
      <c r="R1">
        <f>MC_Tree_1!MC_BV_C_phase1_D_phase2</f>
        <v>0</v>
      </c>
      <c r="S1">
        <f>MC_Tree_1!MC_BP_C_phase1_T_phase_under</f>
        <v>0.4</v>
      </c>
      <c r="T1">
        <f>MC_Tree_1!MC_BV_C_phase1_T_phase_under</f>
        <v>2468750</v>
      </c>
      <c r="U1">
        <f>MC_Tree_1!MC_BV_D_phase2_T_phase_convert</f>
        <v>3200000</v>
      </c>
      <c r="V1">
        <f>MC_Tree_1!MC_BV_D_phase2_T_phase_mixed</f>
        <v>3537500</v>
      </c>
      <c r="W1">
        <f>MC_Tree_1!MC_BV_D_root_C_fuel_full</f>
        <v>-4750000</v>
      </c>
      <c r="X1">
        <f>MC_Tree_1!MC_BV_D_root_C_phase1</f>
        <v>-2375000</v>
      </c>
      <c r="Y1">
        <f>MC_Tree_1!MC_BV_D_root_C_hybrid</f>
        <v>-1425000</v>
      </c>
      <c r="Z1">
        <f>MC_Tree_1!MC_BV_D_root_C_diesel</f>
        <v>-400000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85B7-C673-4049-8EE0-ADC42C41F1FC}">
  <dimension ref="B2:B37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7" t="s">
        <v>44</v>
      </c>
    </row>
    <row r="3" spans="2:2" x14ac:dyDescent="0.45">
      <c r="B3" s="11" t="s">
        <v>45</v>
      </c>
    </row>
    <row r="5" spans="2:2" ht="15.75" x14ac:dyDescent="0.5">
      <c r="B5" s="18" t="s">
        <v>46</v>
      </c>
    </row>
    <row r="7" spans="2:2" x14ac:dyDescent="0.45">
      <c r="B7" t="s">
        <v>47</v>
      </c>
    </row>
    <row r="8" spans="2:2" x14ac:dyDescent="0.45">
      <c r="B8" t="s">
        <v>48</v>
      </c>
    </row>
    <row r="9" spans="2:2" x14ac:dyDescent="0.45">
      <c r="B9" t="s">
        <v>49</v>
      </c>
    </row>
    <row r="10" spans="2:2" x14ac:dyDescent="0.45">
      <c r="B10" t="s">
        <v>50</v>
      </c>
    </row>
    <row r="12" spans="2:2" x14ac:dyDescent="0.45">
      <c r="B12" s="10" t="s">
        <v>51</v>
      </c>
    </row>
    <row r="13" spans="2:2" x14ac:dyDescent="0.45">
      <c r="B13" s="10" t="s">
        <v>52</v>
      </c>
    </row>
    <row r="14" spans="2:2" x14ac:dyDescent="0.45">
      <c r="B14" s="10" t="s">
        <v>53</v>
      </c>
    </row>
    <row r="15" spans="2:2" x14ac:dyDescent="0.45">
      <c r="B15" s="10" t="s">
        <v>54</v>
      </c>
    </row>
    <row r="17" spans="2:2" ht="15.75" x14ac:dyDescent="0.5">
      <c r="B17" s="18" t="s">
        <v>55</v>
      </c>
    </row>
    <row r="19" spans="2:2" x14ac:dyDescent="0.45">
      <c r="B19" t="s">
        <v>56</v>
      </c>
    </row>
    <row r="20" spans="2:2" x14ac:dyDescent="0.45">
      <c r="B20" t="s">
        <v>57</v>
      </c>
    </row>
    <row r="21" spans="2:2" x14ac:dyDescent="0.45">
      <c r="B21" t="s">
        <v>58</v>
      </c>
    </row>
    <row r="22" spans="2:2" x14ac:dyDescent="0.45">
      <c r="B22" t="s">
        <v>59</v>
      </c>
    </row>
    <row r="23" spans="2:2" x14ac:dyDescent="0.45">
      <c r="B23" t="s">
        <v>60</v>
      </c>
    </row>
    <row r="25" spans="2:2" x14ac:dyDescent="0.45">
      <c r="B25" s="8" t="s">
        <v>61</v>
      </c>
    </row>
    <row r="26" spans="2:2" x14ac:dyDescent="0.45">
      <c r="B26" s="10" t="s">
        <v>62</v>
      </c>
    </row>
    <row r="27" spans="2:2" x14ac:dyDescent="0.45">
      <c r="B27" s="10" t="s">
        <v>63</v>
      </c>
    </row>
    <row r="28" spans="2:2" x14ac:dyDescent="0.45">
      <c r="B28" s="10" t="s">
        <v>64</v>
      </c>
    </row>
    <row r="29" spans="2:2" x14ac:dyDescent="0.45">
      <c r="B29" s="10" t="s">
        <v>65</v>
      </c>
    </row>
    <row r="30" spans="2:2" x14ac:dyDescent="0.45">
      <c r="B30" s="10" t="s">
        <v>66</v>
      </c>
    </row>
    <row r="32" spans="2:2" ht="15.75" x14ac:dyDescent="0.5">
      <c r="B32" s="18" t="s">
        <v>67</v>
      </c>
    </row>
    <row r="34" spans="2:2" x14ac:dyDescent="0.45">
      <c r="B34" t="s">
        <v>68</v>
      </c>
    </row>
    <row r="35" spans="2:2" x14ac:dyDescent="0.45">
      <c r="B35" t="s">
        <v>69</v>
      </c>
    </row>
    <row r="36" spans="2:2" x14ac:dyDescent="0.45">
      <c r="B36" t="s">
        <v>70</v>
      </c>
    </row>
    <row r="37" spans="2:2" x14ac:dyDescent="0.45">
      <c r="B37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4BE7C-9ECB-41FC-8ADA-7B8A2AE0C74F}">
  <dimension ref="B2:F56"/>
  <sheetViews>
    <sheetView showGridLines="0" workbookViewId="0"/>
  </sheetViews>
  <sheetFormatPr defaultRowHeight="14.25" x14ac:dyDescent="0.45"/>
  <cols>
    <col min="1" max="1" width="8.59765625" customWidth="1"/>
    <col min="2" max="2" width="23.86328125" customWidth="1"/>
    <col min="3" max="3" width="32.46484375" customWidth="1"/>
    <col min="4" max="4" width="35.796875" customWidth="1"/>
    <col min="5" max="5" width="34.59765625" customWidth="1"/>
    <col min="6" max="6" width="33.3984375" customWidth="1"/>
  </cols>
  <sheetData>
    <row r="2" spans="2:5" ht="15" customHeight="1" x14ac:dyDescent="0.55000000000000004">
      <c r="B2" s="9" t="s">
        <v>7</v>
      </c>
    </row>
    <row r="3" spans="2:5" ht="15" customHeight="1" x14ac:dyDescent="0.45">
      <c r="B3" s="11" t="s">
        <v>8</v>
      </c>
    </row>
    <row r="4" spans="2:5" ht="15" customHeight="1" x14ac:dyDescent="0.45"/>
    <row r="5" spans="2:5" ht="15" customHeight="1" x14ac:dyDescent="0.45">
      <c r="B5" s="12" t="s">
        <v>9</v>
      </c>
      <c r="C5" s="12" t="s">
        <v>10</v>
      </c>
      <c r="D5" s="12" t="s">
        <v>11</v>
      </c>
      <c r="E5" s="12" t="s">
        <v>12</v>
      </c>
    </row>
    <row r="6" spans="2:5" ht="15" customHeight="1" x14ac:dyDescent="0.45">
      <c r="B6" s="13" t="s">
        <v>13</v>
      </c>
      <c r="C6" s="14">
        <v>55000</v>
      </c>
      <c r="D6" s="13" t="s">
        <v>14</v>
      </c>
      <c r="E6" s="13" t="s">
        <v>15</v>
      </c>
    </row>
    <row r="7" spans="2:5" ht="15" customHeight="1" x14ac:dyDescent="0.45">
      <c r="B7" s="13" t="s">
        <v>16</v>
      </c>
      <c r="C7" s="14">
        <v>40000</v>
      </c>
      <c r="D7" s="13" t="s">
        <v>14</v>
      </c>
      <c r="E7" s="13" t="s">
        <v>17</v>
      </c>
    </row>
    <row r="8" spans="2:5" ht="15" customHeight="1" x14ac:dyDescent="0.45">
      <c r="B8" s="13" t="s">
        <v>18</v>
      </c>
      <c r="C8" s="14">
        <v>0.25</v>
      </c>
      <c r="D8" s="13" t="s">
        <v>19</v>
      </c>
      <c r="E8" s="13" t="s">
        <v>20</v>
      </c>
    </row>
    <row r="9" spans="2:5" ht="15" customHeight="1" x14ac:dyDescent="0.45">
      <c r="B9" s="13" t="s">
        <v>21</v>
      </c>
      <c r="C9" s="14">
        <v>0.08</v>
      </c>
      <c r="D9" s="13" t="s">
        <v>19</v>
      </c>
      <c r="E9" s="13" t="s">
        <v>22</v>
      </c>
    </row>
    <row r="10" spans="2:5" ht="15" customHeight="1" x14ac:dyDescent="0.45">
      <c r="B10" s="13" t="s">
        <v>23</v>
      </c>
      <c r="C10" s="15">
        <v>100</v>
      </c>
      <c r="D10" s="13" t="s">
        <v>24</v>
      </c>
      <c r="E10" s="13" t="s">
        <v>25</v>
      </c>
    </row>
    <row r="11" spans="2:5" ht="15" customHeight="1" x14ac:dyDescent="0.45">
      <c r="B11" s="13" t="s">
        <v>26</v>
      </c>
      <c r="C11" s="15">
        <v>25000</v>
      </c>
      <c r="D11" s="13" t="s">
        <v>27</v>
      </c>
      <c r="E11" s="13" t="s">
        <v>28</v>
      </c>
    </row>
    <row r="12" spans="2:5" ht="15" customHeight="1" x14ac:dyDescent="0.45">
      <c r="B12" s="13" t="s">
        <v>29</v>
      </c>
      <c r="C12" s="14">
        <v>2500</v>
      </c>
      <c r="D12" s="13" t="s">
        <v>30</v>
      </c>
      <c r="E12" s="13" t="s">
        <v>31</v>
      </c>
    </row>
    <row r="13" spans="2:5" ht="15" customHeight="1" x14ac:dyDescent="0.45">
      <c r="B13" s="13" t="s">
        <v>32</v>
      </c>
      <c r="C13" s="14">
        <v>7500</v>
      </c>
      <c r="D13" s="13" t="s">
        <v>14</v>
      </c>
      <c r="E13" s="13" t="s">
        <v>33</v>
      </c>
    </row>
    <row r="14" spans="2:5" ht="15" customHeight="1" x14ac:dyDescent="0.45">
      <c r="B14" s="13" t="s">
        <v>34</v>
      </c>
      <c r="C14" s="14">
        <v>22000</v>
      </c>
      <c r="D14" s="13" t="s">
        <v>14</v>
      </c>
      <c r="E14" s="13" t="s">
        <v>35</v>
      </c>
    </row>
    <row r="15" spans="2:5" x14ac:dyDescent="0.45">
      <c r="B15" s="13" t="s">
        <v>36</v>
      </c>
      <c r="C15" s="14">
        <v>15000</v>
      </c>
      <c r="D15" s="13" t="s">
        <v>14</v>
      </c>
      <c r="E15" s="13" t="s">
        <v>37</v>
      </c>
    </row>
    <row r="16" spans="2:5" x14ac:dyDescent="0.45">
      <c r="B16" s="13" t="s">
        <v>38</v>
      </c>
      <c r="C16" s="15">
        <v>5</v>
      </c>
      <c r="D16" s="13" t="s">
        <v>39</v>
      </c>
      <c r="E16" s="13" t="s">
        <v>40</v>
      </c>
    </row>
    <row r="17" spans="2:6" x14ac:dyDescent="0.45">
      <c r="B17" s="13" t="s">
        <v>41</v>
      </c>
      <c r="C17" s="16">
        <v>0.05</v>
      </c>
      <c r="D17" s="13" t="s">
        <v>42</v>
      </c>
      <c r="E17" s="13" t="s">
        <v>43</v>
      </c>
    </row>
    <row r="20" spans="2:6" ht="15" customHeight="1" x14ac:dyDescent="0.45">
      <c r="D20" s="5">
        <v>0.45</v>
      </c>
      <c r="E20" s="1">
        <f>_xll.MC_NodeProbability(_MC_Calc_1,"T_full_rise")</f>
        <v>0.45</v>
      </c>
    </row>
    <row r="21" spans="2:6" ht="15" customHeight="1" x14ac:dyDescent="0.45">
      <c r="D21" s="7">
        <f>(FuelCostPerMile-ElecCostPerMile)*AnnualMiles*FleetSize*AnalysisPeriod*1.25+MaintSavings*FleetSize*AnalysisPeriod+EVResale*FleetSize</f>
        <v>6106250</v>
      </c>
      <c r="E21" s="6">
        <f>_xll.MC_NodeValue(_MC_Calc_1,"T_full_rise")</f>
        <v>1356250</v>
      </c>
    </row>
    <row r="22" spans="2:6" ht="15" customHeight="1" x14ac:dyDescent="0.45">
      <c r="C22" s="4" t="str">
        <f>_xll.MC_NodeDecision(_MC_Calc_1,"C_fuel_full")</f>
        <v/>
      </c>
      <c r="D22" s="2" t="s">
        <v>1</v>
      </c>
    </row>
    <row r="23" spans="2:6" ht="15" customHeight="1" x14ac:dyDescent="0.45">
      <c r="C23" s="7">
        <f>-(EVVehicleCost-GovIncentive)*FleetSize</f>
        <v>-4750000</v>
      </c>
      <c r="D23" s="6">
        <f>_xll.MC_NodeValue(_MC_Calc_1,"C_fuel_full")</f>
        <v>957812.5</v>
      </c>
    </row>
    <row r="24" spans="2:6" ht="15" customHeight="1" x14ac:dyDescent="0.45">
      <c r="D24" s="5">
        <v>0.35</v>
      </c>
      <c r="E24" s="1">
        <f>_xll.MC_NodeProbability(_MC_Calc_1,"T_full_stable")</f>
        <v>0.35</v>
      </c>
    </row>
    <row r="25" spans="2:6" ht="15" customHeight="1" x14ac:dyDescent="0.45">
      <c r="D25" s="7">
        <f>(FuelCostPerMile-ElecCostPerMile)*AnnualMiles*FleetSize*AnalysisPeriod+MaintSavings*FleetSize*AnalysisPeriod+EVResale*FleetSize</f>
        <v>5575000</v>
      </c>
      <c r="E25" s="6">
        <f>_xll.MC_NodeValue(_MC_Calc_1,"T_full_stable")</f>
        <v>825000</v>
      </c>
    </row>
    <row r="26" spans="2:6" ht="15" customHeight="1" x14ac:dyDescent="0.45">
      <c r="D26" s="5">
        <v>0.2</v>
      </c>
      <c r="E26" s="1">
        <f>_xll.MC_NodeProbability(_MC_Calc_1,"T_full_drop")</f>
        <v>0.2</v>
      </c>
    </row>
    <row r="27" spans="2:6" ht="15" customHeight="1" x14ac:dyDescent="0.45">
      <c r="D27" s="7">
        <f>(FuelCostPerMile-ElecCostPerMile)*AnnualMiles*FleetSize*AnalysisPeriod*0.75+MaintSavings*FleetSize*AnalysisPeriod+EVResale*FleetSize</f>
        <v>5043750</v>
      </c>
      <c r="E27" s="6">
        <f>_xll.MC_NodeValue(_MC_Calc_1,"T_full_drop")</f>
        <v>293750</v>
      </c>
    </row>
    <row r="28" spans="2:6" ht="15" customHeight="1" x14ac:dyDescent="0.45">
      <c r="C28" s="3" t="s">
        <v>2</v>
      </c>
    </row>
    <row r="29" spans="2:6" ht="15" customHeight="1" x14ac:dyDescent="0.45">
      <c r="C29" s="6">
        <f>_xll.MC_NodeValue(_MC_Calc_1,"D_root")</f>
        <v>1069687.5</v>
      </c>
    </row>
    <row r="30" spans="2:6" ht="15" customHeight="1" x14ac:dyDescent="0.45">
      <c r="E30" s="4" t="str">
        <f>_xll.MC_NodeDecision(_MC_Calc_1,"T_phase_convert")</f>
        <v/>
      </c>
      <c r="F30" s="1">
        <f>_xll.MC_NodeProbability(_MC_Calc_1,"T_phase_convert")</f>
        <v>0.6</v>
      </c>
    </row>
    <row r="31" spans="2:6" ht="15" customHeight="1" x14ac:dyDescent="0.45">
      <c r="E31" s="7">
        <f>-(EVVehicleCost-GovIncentive)*FleetSize/2+(FuelCostPerMile-ElecCostPerMile)*AnnualMiles*FleetSize*AnalysisPeriod+MaintSavings*FleetSize*AnalysisPeriod+EVResale*FleetSize</f>
        <v>3200000</v>
      </c>
      <c r="F31" s="6">
        <f>_xll.MC_NodeValue(_MC_Calc_1,"T_phase_convert")</f>
        <v>825000</v>
      </c>
    </row>
    <row r="32" spans="2:6" ht="15" customHeight="1" x14ac:dyDescent="0.45">
      <c r="D32" s="5">
        <v>0.6</v>
      </c>
      <c r="E32" s="3" t="s">
        <v>3</v>
      </c>
    </row>
    <row r="33" spans="3:6" ht="15" customHeight="1" x14ac:dyDescent="0.45">
      <c r="D33" s="7">
        <v>0</v>
      </c>
      <c r="E33" s="6">
        <f>_xll.MC_NodeValue(_MC_Calc_1,"D_phase2")</f>
        <v>1162500</v>
      </c>
    </row>
    <row r="34" spans="3:6" ht="15" customHeight="1" x14ac:dyDescent="0.45">
      <c r="E34" s="4" t="str">
        <f>_xll.MC_NodeDecision(_MC_Calc_1,"T_phase_mixed")</f>
        <v>optimal</v>
      </c>
      <c r="F34" s="1">
        <f>_xll.MC_NodeProbability(_MC_Calc_1,"T_phase_mixed")</f>
        <v>0.6</v>
      </c>
    </row>
    <row r="35" spans="3:6" ht="15" customHeight="1" x14ac:dyDescent="0.45">
      <c r="E35" s="7">
        <f>(FuelCostPerMile-ElecCostPerMile)*AnnualMiles*FleetSize*0.5*AnalysisPeriod+MaintSavings*FleetSize*0.5*AnalysisPeriod+EVResale*FleetSize*0.5+DieselResale*FleetSize*0.5</f>
        <v>3537500</v>
      </c>
      <c r="F35" s="6">
        <f>_xll.MC_NodeValue(_MC_Calc_1,"T_phase_mixed")</f>
        <v>1162500</v>
      </c>
    </row>
    <row r="36" spans="3:6" ht="15" customHeight="1" x14ac:dyDescent="0.45">
      <c r="C36" s="4" t="str">
        <f>_xll.MC_NodeDecision(_MC_Calc_1,"C_phase1")</f>
        <v/>
      </c>
      <c r="D36" s="2" t="s">
        <v>4</v>
      </c>
    </row>
    <row r="37" spans="3:6" ht="15" customHeight="1" x14ac:dyDescent="0.45">
      <c r="C37" s="7">
        <f>-(EVVehicleCost-GovIncentive)*FleetSize/2</f>
        <v>-2375000</v>
      </c>
      <c r="D37" s="6">
        <f>_xll.MC_NodeValue(_MC_Calc_1,"C_phase1")</f>
        <v>735000</v>
      </c>
    </row>
    <row r="38" spans="3:6" ht="15" customHeight="1" x14ac:dyDescent="0.45">
      <c r="D38" s="5">
        <v>0.4</v>
      </c>
      <c r="E38" s="1">
        <f>_xll.MC_NodeProbability(_MC_Calc_1,"T_phase_under")</f>
        <v>0.4</v>
      </c>
    </row>
    <row r="39" spans="3:6" ht="15" customHeight="1" x14ac:dyDescent="0.45">
      <c r="D39" s="7">
        <f>(FuelCostPerMile-ElecCostPerMile)*AnnualMiles*FleetSize*0.5*AnalysisPeriod*0.7+MaintSavings*FleetSize*0.5*AnalysisPeriod+EVResale*FleetSize*0.5</f>
        <v>2468750</v>
      </c>
      <c r="E39" s="6">
        <f>_xll.MC_NodeValue(_MC_Calc_1,"T_phase_under")</f>
        <v>93750</v>
      </c>
    </row>
    <row r="40" spans="3:6" ht="15" customHeight="1" x14ac:dyDescent="0.45">
      <c r="D40" s="5">
        <v>0.55000000000000004</v>
      </c>
      <c r="E40" s="1">
        <f>_xll.MC_NodeProbability(_MC_Calc_1,"T_hybrid_good")</f>
        <v>0.55000000000000004</v>
      </c>
    </row>
    <row r="41" spans="3:6" ht="15" customHeight="1" x14ac:dyDescent="0.45">
      <c r="D41" s="7">
        <f>(FuelCostPerMile-ElecCostPerMile)*AnnualMiles*FleetSize*0.3*AnalysisPeriod+MaintSavings*FleetSize*0.3*AnalysisPeriod+EVResale*FleetSize*0.3+DieselResale*FleetSize*0.7</f>
        <v>2722500</v>
      </c>
      <c r="E41" s="6">
        <f>_xll.MC_NodeValue(_MC_Calc_1,"T_hybrid_good")</f>
        <v>1297500</v>
      </c>
    </row>
    <row r="42" spans="3:6" ht="15" customHeight="1" x14ac:dyDescent="0.45">
      <c r="C42" s="4" t="str">
        <f>_xll.MC_NodeDecision(_MC_Calc_1,"C_hybrid")</f>
        <v>optimal</v>
      </c>
      <c r="D42" s="2" t="s">
        <v>5</v>
      </c>
    </row>
    <row r="43" spans="3:6" ht="15" customHeight="1" x14ac:dyDescent="0.45">
      <c r="C43" s="7">
        <f>-(EVVehicleCost-GovIncentive)*FleetSize*0.3</f>
        <v>-1425000</v>
      </c>
      <c r="D43" s="6">
        <f>_xll.MC_NodeValue(_MC_Calc_1,"C_hybrid")</f>
        <v>1069687.5</v>
      </c>
    </row>
    <row r="44" spans="3:6" ht="15" customHeight="1" x14ac:dyDescent="0.45">
      <c r="D44" s="5">
        <v>0.45</v>
      </c>
      <c r="E44" s="1">
        <f>_xll.MC_NodeProbability(_MC_Calc_1,"T_hybrid_poor")</f>
        <v>0.45</v>
      </c>
    </row>
    <row r="45" spans="3:6" ht="15" customHeight="1" x14ac:dyDescent="0.45">
      <c r="D45" s="7">
        <f>(FuelCostPerMile-ElecCostPerMile)*AnnualMiles*FleetSize*0.3*AnalysisPeriod*0.5+MaintSavings*FleetSize*0.3*AnalysisPeriod*0.5+EVResale*FleetSize*0.3+DieselResale*FleetSize*0.7</f>
        <v>2216250</v>
      </c>
      <c r="E45" s="6">
        <f>_xll.MC_NodeValue(_MC_Calc_1,"T_hybrid_poor")</f>
        <v>791250</v>
      </c>
    </row>
    <row r="46" spans="3:6" ht="15" customHeight="1" x14ac:dyDescent="0.45">
      <c r="D46" s="5">
        <v>0.4</v>
      </c>
      <c r="E46" s="1">
        <f>_xll.MC_NodeProbability(_MC_Calc_1,"T_diesel_ok")</f>
        <v>0.4</v>
      </c>
    </row>
    <row r="47" spans="3:6" ht="15" customHeight="1" x14ac:dyDescent="0.45">
      <c r="D47" s="7">
        <f>DieselResale*FleetSize-FuelCostPerMile*AnnualMiles*FleetSize*AnalysisPeriod*0.1</f>
        <v>1187500</v>
      </c>
      <c r="E47" s="6">
        <f>_xll.MC_NodeValue(_MC_Calc_1,"T_diesel_ok")</f>
        <v>787500</v>
      </c>
    </row>
    <row r="48" spans="3:6" ht="15" customHeight="1" x14ac:dyDescent="0.45">
      <c r="C48" s="4" t="str">
        <f>_xll.MC_NodeDecision(_MC_Calc_1,"C_diesel")</f>
        <v/>
      </c>
      <c r="D48" s="2" t="s">
        <v>6</v>
      </c>
    </row>
    <row r="49" spans="3:5" ht="15" customHeight="1" x14ac:dyDescent="0.45">
      <c r="C49" s="7">
        <f>-DieselVehicleCost*FleetSize*0.1</f>
        <v>-400000</v>
      </c>
      <c r="D49" s="6">
        <f>_xll.MC_NodeValue(_MC_Calc_1,"C_diesel")</f>
        <v>365625</v>
      </c>
    </row>
    <row r="50" spans="3:5" ht="15" customHeight="1" x14ac:dyDescent="0.45">
      <c r="D50" s="5">
        <v>0.35</v>
      </c>
      <c r="E50" s="1">
        <f>_xll.MC_NodeProbability(_MC_Calc_1,"T_diesel_reg")</f>
        <v>0.35</v>
      </c>
    </row>
    <row r="51" spans="3:5" ht="15" customHeight="1" x14ac:dyDescent="0.45">
      <c r="D51" s="7">
        <f>DieselResale*FleetSize-FuelCostPerMile*AnnualMiles*FleetSize*AnalysisPeriod*0.2</f>
        <v>875000</v>
      </c>
      <c r="E51" s="6">
        <f>_xll.MC_NodeValue(_MC_Calc_1,"T_diesel_reg")</f>
        <v>475000</v>
      </c>
    </row>
    <row r="52" spans="3:5" ht="15" customHeight="1" x14ac:dyDescent="0.45">
      <c r="D52" s="5">
        <v>0.25</v>
      </c>
      <c r="E52" s="1">
        <f>_xll.MC_NodeProbability(_MC_Calc_1,"T_diesel_crisis")</f>
        <v>0.25</v>
      </c>
    </row>
    <row r="53" spans="3:5" ht="15" customHeight="1" x14ac:dyDescent="0.45">
      <c r="D53" s="7">
        <f>DieselResale*FleetSize-FuelCostPerMile*AnnualMiles*FleetSize*AnalysisPeriod*0.5</f>
        <v>-62500</v>
      </c>
      <c r="E53" s="6">
        <f>_xll.MC_NodeValue(_MC_Calc_1,"T_diesel_crisis")</f>
        <v>-462500</v>
      </c>
    </row>
    <row r="54" spans="3:5" ht="15" customHeight="1" x14ac:dyDescent="0.45"/>
    <row r="55" spans="3:5" ht="15" customHeight="1" x14ac:dyDescent="0.45"/>
    <row r="56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79</vt:i4>
      </vt:variant>
    </vt:vector>
  </HeadingPairs>
  <TitlesOfParts>
    <vt:vector size="81" baseType="lpstr">
      <vt:lpstr>Problem</vt:lpstr>
      <vt:lpstr>MC_Tree_1</vt:lpstr>
      <vt:lpstr>_MC_Calc_1</vt:lpstr>
      <vt:lpstr>AnalysisPeriod</vt:lpstr>
      <vt:lpstr>AnnualMiles</vt:lpstr>
      <vt:lpstr>DieselResale</vt:lpstr>
      <vt:lpstr>DieselVehicleCost</vt:lpstr>
      <vt:lpstr>ElecCostPerMile</vt:lpstr>
      <vt:lpstr>EVResale</vt:lpstr>
      <vt:lpstr>EVVehicleCost</vt:lpstr>
      <vt:lpstr>FleetSize</vt:lpstr>
      <vt:lpstr>FuelCostPerMile</vt:lpstr>
      <vt:lpstr>FuelEscalation</vt:lpstr>
      <vt:lpstr>GovIncentive</vt:lpstr>
      <vt:lpstr>MaintSavings</vt:lpstr>
      <vt:lpstr>MC_Tree_1!MC_BD_D_phase2_T_phase_convert</vt:lpstr>
      <vt:lpstr>MC_Tree_1!MC_BD_D_phase2_T_phase_mixed</vt:lpstr>
      <vt:lpstr>MC_Tree_1!MC_BD_D_root_C_diesel</vt:lpstr>
      <vt:lpstr>MC_Tree_1!MC_BD_D_root_C_fuel_full</vt:lpstr>
      <vt:lpstr>MC_Tree_1!MC_BD_D_root_C_hybrid</vt:lpstr>
      <vt:lpstr>MC_Tree_1!MC_BD_D_root_C_phase1</vt:lpstr>
      <vt:lpstr>MC_Tree_1!MC_BP_C_diesel_T_diesel_crisis</vt:lpstr>
      <vt:lpstr>MC_Tree_1!MC_BP_C_diesel_T_diesel_ok</vt:lpstr>
      <vt:lpstr>MC_Tree_1!MC_BP_C_diesel_T_diesel_reg</vt:lpstr>
      <vt:lpstr>MC_Tree_1!MC_BP_C_fuel_full_T_full_drop</vt:lpstr>
      <vt:lpstr>MC_Tree_1!MC_BP_C_fuel_full_T_full_rise</vt:lpstr>
      <vt:lpstr>MC_Tree_1!MC_BP_C_fuel_full_T_full_stable</vt:lpstr>
      <vt:lpstr>MC_Tree_1!MC_BP_C_hybrid_T_hybrid_good</vt:lpstr>
      <vt:lpstr>MC_Tree_1!MC_BP_C_hybrid_T_hybrid_poor</vt:lpstr>
      <vt:lpstr>MC_Tree_1!MC_BP_C_phase1_D_phase2</vt:lpstr>
      <vt:lpstr>MC_Tree_1!MC_BP_C_phase1_T_phase_under</vt:lpstr>
      <vt:lpstr>MC_Tree_1!MC_BV_C_diesel_T_diesel_crisis</vt:lpstr>
      <vt:lpstr>MC_Tree_1!MC_BV_C_diesel_T_diesel_ok</vt:lpstr>
      <vt:lpstr>MC_Tree_1!MC_BV_C_diesel_T_diesel_reg</vt:lpstr>
      <vt:lpstr>MC_Tree_1!MC_BV_C_fuel_full_T_full_drop</vt:lpstr>
      <vt:lpstr>MC_Tree_1!MC_BV_C_fuel_full_T_full_rise</vt:lpstr>
      <vt:lpstr>MC_Tree_1!MC_BV_C_fuel_full_T_full_stable</vt:lpstr>
      <vt:lpstr>MC_Tree_1!MC_BV_C_hybrid_T_hybrid_good</vt:lpstr>
      <vt:lpstr>MC_Tree_1!MC_BV_C_hybrid_T_hybrid_poor</vt:lpstr>
      <vt:lpstr>MC_Tree_1!MC_BV_C_phase1_D_phase2</vt:lpstr>
      <vt:lpstr>MC_Tree_1!MC_BV_C_phase1_T_phase_under</vt:lpstr>
      <vt:lpstr>MC_Tree_1!MC_BV_D_phase2_T_phase_convert</vt:lpstr>
      <vt:lpstr>MC_Tree_1!MC_BV_D_phase2_T_phase_mixed</vt:lpstr>
      <vt:lpstr>MC_Tree_1!MC_BV_D_root_C_diesel</vt:lpstr>
      <vt:lpstr>MC_Tree_1!MC_BV_D_root_C_fuel_full</vt:lpstr>
      <vt:lpstr>MC_Tree_1!MC_BV_D_root_C_hybrid</vt:lpstr>
      <vt:lpstr>MC_Tree_1!MC_BV_D_root_C_phase1</vt:lpstr>
      <vt:lpstr>MC_Tree_1!MC_N_C_diesel</vt:lpstr>
      <vt:lpstr>MC_Tree_1!MC_N_C_fuel_full</vt:lpstr>
      <vt:lpstr>MC_Tree_1!MC_N_C_hybrid</vt:lpstr>
      <vt:lpstr>MC_Tree_1!MC_N_C_phase1</vt:lpstr>
      <vt:lpstr>MC_Tree_1!MC_N_D_phase2</vt:lpstr>
      <vt:lpstr>MC_Tree_1!MC_N_D_root</vt:lpstr>
      <vt:lpstr>MC_Tree_1!MC_NP_T_diesel_crisis</vt:lpstr>
      <vt:lpstr>MC_Tree_1!MC_NP_T_diesel_ok</vt:lpstr>
      <vt:lpstr>MC_Tree_1!MC_NP_T_diesel_reg</vt:lpstr>
      <vt:lpstr>MC_Tree_1!MC_NP_T_full_drop</vt:lpstr>
      <vt:lpstr>MC_Tree_1!MC_NP_T_full_rise</vt:lpstr>
      <vt:lpstr>MC_Tree_1!MC_NP_T_full_stable</vt:lpstr>
      <vt:lpstr>MC_Tree_1!MC_NP_T_hybrid_good</vt:lpstr>
      <vt:lpstr>MC_Tree_1!MC_NP_T_hybrid_poor</vt:lpstr>
      <vt:lpstr>MC_Tree_1!MC_NP_T_phase_convert</vt:lpstr>
      <vt:lpstr>MC_Tree_1!MC_NP_T_phase_mixed</vt:lpstr>
      <vt:lpstr>MC_Tree_1!MC_NP_T_phase_under</vt:lpstr>
      <vt:lpstr>MC_Tree_1!MC_V_C_diesel</vt:lpstr>
      <vt:lpstr>MC_Tree_1!MC_V_C_fuel_full</vt:lpstr>
      <vt:lpstr>MC_Tree_1!MC_V_C_hybrid</vt:lpstr>
      <vt:lpstr>MC_Tree_1!MC_V_C_phase1</vt:lpstr>
      <vt:lpstr>MC_Tree_1!MC_V_D_phase2</vt:lpstr>
      <vt:lpstr>MC_Tree_1!MC_V_D_root</vt:lpstr>
      <vt:lpstr>MC_Tree_1!MC_V_T_diesel_crisis</vt:lpstr>
      <vt:lpstr>MC_Tree_1!MC_V_T_diesel_ok</vt:lpstr>
      <vt:lpstr>MC_Tree_1!MC_V_T_diesel_reg</vt:lpstr>
      <vt:lpstr>MC_Tree_1!MC_V_T_full_drop</vt:lpstr>
      <vt:lpstr>MC_Tree_1!MC_V_T_full_rise</vt:lpstr>
      <vt:lpstr>MC_Tree_1!MC_V_T_full_stable</vt:lpstr>
      <vt:lpstr>MC_Tree_1!MC_V_T_hybrid_good</vt:lpstr>
      <vt:lpstr>MC_Tree_1!MC_V_T_hybrid_poor</vt:lpstr>
      <vt:lpstr>MC_Tree_1!MC_V_T_phase_convert</vt:lpstr>
      <vt:lpstr>MC_Tree_1!MC_V_T_phase_mixed</vt:lpstr>
      <vt:lpstr>MC_Tree_1!MC_V_T_phase_under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2026-03-27T15:00:46Z</dcterms:created>
  <dcterms:modified xsi:type="dcterms:W3CDTF">2026-03-27T15:00:57Z</dcterms:modified>
</cp:coreProperties>
</file>