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TimourKoupeev\source\repos\ModelRisk-Examples-opt\models\Corporate finance\"/>
    </mc:Choice>
  </mc:AlternateContent>
  <xr:revisionPtr revIDLastSave="0" documentId="8_{822FFAE2-A91F-41FC-9343-D9AD8D8B2152}" xr6:coauthVersionLast="47" xr6:coauthVersionMax="47" xr10:uidLastSave="{00000000-0000-0000-0000-000000000000}"/>
  <bookViews>
    <workbookView xWindow="2205" yWindow="2205" windowWidth="16200" windowHeight="9307" xr2:uid="{00000000-000D-0000-FFFF-FFFF00000000}"/>
  </bookViews>
  <sheets>
    <sheet name="About" sheetId="1" r:id="rId1"/>
    <sheet name="Inputs" sheetId="2" r:id="rId2"/>
    <sheet name="Decisions" sheetId="3" r:id="rId3"/>
    <sheet name="Portfolio" sheetId="4" r:id="rId4"/>
    <sheet name="Results" sheetId="5" r:id="rId5"/>
    <sheet name="ModelRiskOptimizer" sheetId="6" state="veryHidden" r:id="rId6"/>
    <sheet name="ModelRiskDSN" sheetId="8" state="hidden" r:id="rId7"/>
    <sheet name="ModelRiskSYS1" sheetId="9" state="hidden" r:id="rId8"/>
    <sheet name="ModelRiskCharts" sheetId="10" state="hidden" r:id="rId9"/>
  </sheets>
  <definedNames>
    <definedName name="BigLoss">Inputs!$D$19</definedName>
    <definedName name="C_Cred_RE">Inputs!$I$35</definedName>
    <definedName name="C_Eq_Cred">Inputs!$H$33</definedName>
    <definedName name="C_Eq_Gov">Inputs!$G$33</definedName>
    <definedName name="C_Eq_RE">Inputs!$I$33</definedName>
    <definedName name="C_Gov_Cred">Inputs!$H$34</definedName>
    <definedName name="C_Gov_RE">Inputs!$I$34</definedName>
    <definedName name="Checks">Portfolio!$G$31:$G$33</definedName>
    <definedName name="CorrEigen">Portfolio!$C$9:$F$9</definedName>
    <definedName name="CorrMatrix">Inputs!$F$33:$I$36</definedName>
    <definedName name="Front1_Limit">Results!$B$31</definedName>
    <definedName name="Front1_Mean">Results!$C$31</definedName>
    <definedName name="Front1_W_Cred">Results!$F$31</definedName>
    <definedName name="Front1_W_Eq">Results!$D$31</definedName>
    <definedName name="Front1_W_Gov">Results!$E$31</definedName>
    <definedName name="Front1_W_RE">Results!$G$31</definedName>
    <definedName name="Front2_Limit">Results!$B$32</definedName>
    <definedName name="Front2_Mean">Results!$C$32</definedName>
    <definedName name="Front2_W_Cred">Results!$F$32</definedName>
    <definedName name="Front2_W_Eq">Results!$D$32</definedName>
    <definedName name="Front2_W_Gov">Results!$E$32</definedName>
    <definedName name="Front2_W_RE">Results!$G$32</definedName>
    <definedName name="Front3_Limit">Results!$B$33</definedName>
    <definedName name="Front3_Mean">Results!$C$33</definedName>
    <definedName name="Front3_W_Cred">Results!$F$33</definedName>
    <definedName name="Front3_W_Eq">Results!$D$33</definedName>
    <definedName name="Front3_W_Gov">Results!$E$33</definedName>
    <definedName name="Front3_W_RE">Results!$G$33</definedName>
    <definedName name="Front4_Limit">Results!$B$34</definedName>
    <definedName name="Front4_Mean">Results!$C$34</definedName>
    <definedName name="Front4_W_Cred">Results!$F$34</definedName>
    <definedName name="Front4_W_Eq">Results!$D$34</definedName>
    <definedName name="Front4_W_Gov">Results!$E$34</definedName>
    <definedName name="Front4_W_RE">Results!$G$34</definedName>
    <definedName name="Front5_Limit">Results!$B$35</definedName>
    <definedName name="Front5_Mean">Results!$C$35</definedName>
    <definedName name="Front5_W_Cred">Results!$F$35</definedName>
    <definedName name="Front5_W_Eq">Results!$D$35</definedName>
    <definedName name="Front5_W_Gov">Results!$E$35</definedName>
    <definedName name="Front5_W_RE">Results!$G$35</definedName>
    <definedName name="Invested">Inputs!$D$11</definedName>
    <definedName name="M0_c0_cell" hidden="1">Portfolio!$D$26</definedName>
    <definedName name="M0_c0_rhsA" hidden="1">Inputs!$D$12</definedName>
    <definedName name="M0_c1_cell" hidden="1">Portfolio!$E$26</definedName>
    <definedName name="M0_c1_fml" hidden="1">Portfolio!$E$26</definedName>
    <definedName name="M0_o0_cell" hidden="1">Portfolio!$C$26</definedName>
    <definedName name="M0_v0_cell" hidden="1">Decisions!$D$11</definedName>
    <definedName name="M0_v0_max" hidden="1">Decisions!$G$11</definedName>
    <definedName name="M0_v0_min" hidden="1">Decisions!$F$11</definedName>
    <definedName name="M0_v1_cell" hidden="1">Decisions!$D$12</definedName>
    <definedName name="M0_v1_max" hidden="1">Decisions!$G$12</definedName>
    <definedName name="M0_v1_min" hidden="1">Decisions!$F$12</definedName>
    <definedName name="M0_v2_cell" hidden="1">Decisions!$D$13</definedName>
    <definedName name="M0_v2_max" hidden="1">Decisions!$G$13</definedName>
    <definedName name="M0_v2_min" hidden="1">Decisions!$F$13</definedName>
    <definedName name="M0_v3_cell" hidden="1">Decisions!$D$14</definedName>
    <definedName name="M0_v3_max" hidden="1">Decisions!$G$14</definedName>
    <definedName name="M0_v3_min" hidden="1">Decisions!$F$14</definedName>
    <definedName name="Mu_Cred">Inputs!$F$27</definedName>
    <definedName name="Mu_Eq">Inputs!$F$25</definedName>
    <definedName name="Mu_Gov">Inputs!$F$26</definedName>
    <definedName name="Mu_RE">Inputs!$F$28</definedName>
    <definedName name="NuCop">Inputs!$D$18</definedName>
    <definedName name="NuMarg">Inputs!$D$17</definedName>
    <definedName name="OptRun_Best">Decisions!$D$32</definedName>
    <definedName name="OptRun_Date">Decisions!$D$25</definedName>
    <definedName name="OptRun_Engine">Decisions!$D$26</definedName>
    <definedName name="OptRun_Feasible">Decisions!$D$31</definedName>
    <definedName name="OptRun_Samples">Decisions!$D$28</definedName>
    <definedName name="OptRun_Seconds">Decisions!$D$29</definedName>
    <definedName name="OptRun_Stop">Decisions!$D$30</definedName>
    <definedName name="OptRun_Trials">Decisions!$D$27</definedName>
    <definedName name="Out_Loss_Plan">Portfolio!$D$26</definedName>
    <definedName name="Out_Loss_Start">Portfolio!$D$25</definedName>
    <definedName name="Out_Return_Plan">Portfolio!$C$26</definedName>
    <definedName name="Out_Return_Start">Portfolio!$C$25</definedName>
    <definedName name="_xlnm.Print_Area" localSheetId="4">Results!$A$1:$R$48</definedName>
    <definedName name="_xlnm.Print_Titles" localSheetId="2">Decisions!$1:$4</definedName>
    <definedName name="_xlnm.Print_Titles" localSheetId="1">Inputs!$1:$4</definedName>
    <definedName name="_xlnm.Print_Titles" localSheetId="4">Results!$1:$4</definedName>
    <definedName name="R_Cred">Portfolio!$F$17</definedName>
    <definedName name="R_Eq">Portfolio!$F$15</definedName>
    <definedName name="R_Gov">Portfolio!$F$16</definedName>
    <definedName name="R_RE">Portfolio!$F$18</definedName>
    <definedName name="Sd_Cred">Inputs!$G$27</definedName>
    <definedName name="Sd_Eq">Inputs!$G$25</definedName>
    <definedName name="Sd_Gov">Inputs!$G$26</definedName>
    <definedName name="Sd_RE">Inputs!$G$28</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VaRLimit">Inputs!$D$12</definedName>
    <definedName name="W_Cred">Decisions!$D$13</definedName>
    <definedName name="W_Cred_Hi">Decisions!$G$13</definedName>
    <definedName name="W_Cred_Lo">Decisions!$F$13</definedName>
    <definedName name="W_Cred_Start">Decisions!$E$13</definedName>
    <definedName name="W_Eq">Decisions!$D$11</definedName>
    <definedName name="W_Eq_Hi">Decisions!$G$11</definedName>
    <definedName name="W_Eq_Lo">Decisions!$F$11</definedName>
    <definedName name="W_Eq_Start">Decisions!$E$11</definedName>
    <definedName name="W_Gov">Decisions!$D$12</definedName>
    <definedName name="W_Gov_Hi">Decisions!$G$12</definedName>
    <definedName name="W_Gov_Lo">Decisions!$F$12</definedName>
    <definedName name="W_Gov_Start">Decisions!$E$12</definedName>
    <definedName name="W_RE">Decisions!$D$14</definedName>
    <definedName name="W_RE_Hi">Decisions!$G$14</definedName>
    <definedName name="W_RE_Lo">Decisions!$F$14</definedName>
    <definedName name="W_RE_Start">Decisions!$E$14</definedName>
    <definedName name="WeightsOK_Plan">Portfolio!$E$26</definedName>
    <definedName name="WeightsOK_Start">Portfolio!$E$25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3" i="5" l="1"/>
  <c r="C103" i="5"/>
  <c r="F102" i="5"/>
  <c r="C102" i="5"/>
  <c r="F101" i="5"/>
  <c r="C101" i="5"/>
  <c r="F100" i="5"/>
  <c r="C100" i="5"/>
  <c r="F99" i="5"/>
  <c r="C99" i="5"/>
  <c r="F98" i="5"/>
  <c r="C98" i="5"/>
  <c r="F97" i="5"/>
  <c r="C97" i="5"/>
  <c r="F96" i="5"/>
  <c r="C96" i="5"/>
  <c r="F95" i="5"/>
  <c r="C95" i="5"/>
  <c r="F94" i="5"/>
  <c r="C94" i="5"/>
  <c r="F93" i="5"/>
  <c r="C93" i="5"/>
  <c r="F92" i="5"/>
  <c r="C92" i="5"/>
  <c r="F91" i="5"/>
  <c r="C91" i="5"/>
  <c r="F90" i="5"/>
  <c r="C90" i="5"/>
  <c r="F89" i="5"/>
  <c r="C89" i="5"/>
  <c r="F88" i="5"/>
  <c r="C88" i="5"/>
  <c r="F87" i="5"/>
  <c r="C87" i="5"/>
  <c r="F86" i="5"/>
  <c r="C86" i="5"/>
  <c r="F85" i="5"/>
  <c r="C85" i="5"/>
  <c r="F84" i="5"/>
  <c r="C84" i="5"/>
  <c r="F83" i="5"/>
  <c r="C83" i="5"/>
  <c r="F82" i="5"/>
  <c r="C82" i="5"/>
  <c r="F81" i="5"/>
  <c r="C81" i="5"/>
  <c r="F80" i="5"/>
  <c r="C80" i="5"/>
  <c r="F79" i="5"/>
  <c r="C79" i="5"/>
  <c r="F78" i="5"/>
  <c r="C78" i="5"/>
  <c r="F77" i="5"/>
  <c r="C77" i="5"/>
  <c r="F76" i="5"/>
  <c r="C76" i="5"/>
  <c r="F75" i="5"/>
  <c r="C75" i="5"/>
  <c r="F74" i="5"/>
  <c r="C74" i="5"/>
  <c r="F73" i="5"/>
  <c r="C73" i="5"/>
  <c r="F72" i="5"/>
  <c r="C72" i="5"/>
  <c r="F71" i="5"/>
  <c r="C71" i="5"/>
  <c r="F70" i="5"/>
  <c r="C70" i="5"/>
  <c r="F69" i="5"/>
  <c r="C69" i="5"/>
  <c r="F68" i="5"/>
  <c r="C68" i="5"/>
  <c r="F67" i="5"/>
  <c r="C67" i="5"/>
  <c r="F66" i="5"/>
  <c r="C66" i="5"/>
  <c r="F65" i="5"/>
  <c r="C65" i="5"/>
  <c r="F64" i="5"/>
  <c r="C64" i="5"/>
  <c r="F63" i="5"/>
  <c r="C63" i="5"/>
  <c r="F62" i="5"/>
  <c r="C62" i="5"/>
  <c r="F61" i="5"/>
  <c r="C61" i="5"/>
  <c r="F60" i="5"/>
  <c r="C60" i="5"/>
  <c r="F59" i="5"/>
  <c r="C59" i="5"/>
  <c r="F58" i="5"/>
  <c r="C58" i="5"/>
  <c r="F57" i="5"/>
  <c r="C57" i="5"/>
  <c r="F56" i="5"/>
  <c r="C56" i="5"/>
  <c r="F55" i="5"/>
  <c r="C55" i="5"/>
  <c r="F54" i="5"/>
  <c r="C54" i="5"/>
  <c r="E24" i="5"/>
  <c r="D24" i="5"/>
  <c r="E15" i="5"/>
  <c r="D15" i="5"/>
  <c r="E14" i="5"/>
  <c r="D14" i="5"/>
  <c r="F14" i="5" s="1"/>
  <c r="E13" i="5"/>
  <c r="D13" i="5"/>
  <c r="E12" i="5"/>
  <c r="D12" i="5"/>
  <c r="G32" i="4"/>
  <c r="H18" i="4"/>
  <c r="G18" i="4"/>
  <c r="D18" i="4"/>
  <c r="C18" i="4"/>
  <c r="H17" i="4"/>
  <c r="G17" i="4"/>
  <c r="D17" i="4"/>
  <c r="C17" i="4"/>
  <c r="H16" i="4"/>
  <c r="E26" i="4" s="1"/>
  <c r="G21" i="3" s="1"/>
  <c r="G16" i="4"/>
  <c r="D16" i="4"/>
  <c r="C16" i="4"/>
  <c r="H15" i="4"/>
  <c r="G15" i="4"/>
  <c r="E25" i="4" s="1"/>
  <c r="D15" i="4"/>
  <c r="C15" i="4"/>
  <c r="G20" i="3"/>
  <c r="H36" i="2"/>
  <c r="G36" i="2"/>
  <c r="F36" i="2"/>
  <c r="G35" i="2"/>
  <c r="F35" i="2"/>
  <c r="F34" i="2"/>
  <c r="E15" i="4" a="1"/>
  <c r="E18" i="4" s="1"/>
  <c r="F12" i="5"/>
  <c r="F13" i="5"/>
  <c r="F18" i="4" a="1"/>
  <c r="C9" i="4" a="1"/>
  <c r="F15" i="5" l="1"/>
  <c r="G19" i="4"/>
  <c r="E9" i="4"/>
  <c r="D9" i="4"/>
  <c r="C9" i="4"/>
  <c r="F9" i="4"/>
  <c r="F18" i="4"/>
  <c r="G31" i="4"/>
  <c r="H19" i="4"/>
  <c r="E17" i="4"/>
  <c r="E16" i="4"/>
  <c r="E15" i="4"/>
  <c r="F16" i="4" a="1"/>
  <c r="F15" i="4" a="1"/>
  <c r="F17" i="4" a="1"/>
  <c r="F17" i="4" l="1"/>
  <c r="F15" i="4"/>
  <c r="F16" i="4"/>
  <c r="G33" i="4"/>
  <c r="B7" i="5" s="1"/>
  <c r="C25" i="4" l="1" a="1"/>
  <c r="C25" i="4" s="1"/>
  <c r="C26" i="4" a="1"/>
  <c r="C26" i="4" s="1"/>
  <c r="D18" i="5" a="1"/>
  <c r="D19" i="5" a="1"/>
  <c r="E18" i="5" a="1"/>
  <c r="B6" i="5" a="1"/>
  <c r="E19" i="5" a="1"/>
  <c r="E19" i="5" l="1"/>
  <c r="B6" i="5"/>
  <c r="E18" i="5"/>
  <c r="D19" i="5"/>
  <c r="D18" i="5"/>
  <c r="D26" i="4" a="1"/>
  <c r="D26" i="4" s="1"/>
  <c r="D25" i="4" a="1"/>
  <c r="D25" i="4" s="1"/>
  <c r="D20" i="5" a="1"/>
  <c r="D80" i="5" a="1"/>
  <c r="D64" i="5" a="1"/>
  <c r="D59" i="5" a="1"/>
  <c r="D94" i="5" a="1"/>
  <c r="D58" i="5" a="1"/>
  <c r="D95" i="5" a="1"/>
  <c r="D60" i="5" a="1"/>
  <c r="D73" i="5" a="1"/>
  <c r="D22" i="5" a="1"/>
  <c r="D68" i="5" a="1"/>
  <c r="D54" i="5" a="1"/>
  <c r="D103" i="5" a="1"/>
  <c r="D57" i="5" a="1"/>
  <c r="D98" i="5" a="1"/>
  <c r="D63" i="5" a="1"/>
  <c r="D91" i="5" a="1"/>
  <c r="D99" i="5" a="1"/>
  <c r="D62" i="5" a="1"/>
  <c r="D100" i="5" a="1"/>
  <c r="D76" i="5" a="1"/>
  <c r="D79" i="5" a="1"/>
  <c r="D81" i="5" a="1"/>
  <c r="D87" i="5" a="1"/>
  <c r="D82" i="5" a="1"/>
  <c r="D83" i="5" a="1"/>
  <c r="D75" i="5" a="1"/>
  <c r="D77" i="5" a="1"/>
  <c r="D84" i="5" a="1"/>
  <c r="D88" i="5" a="1"/>
  <c r="D66" i="5" a="1"/>
  <c r="D23" i="5" a="1"/>
  <c r="D72" i="5" a="1"/>
  <c r="D86" i="5" a="1"/>
  <c r="D89" i="5" a="1"/>
  <c r="D96" i="5" a="1"/>
  <c r="D92" i="5" a="1"/>
  <c r="D74" i="5" a="1"/>
  <c r="D56" i="5" a="1"/>
  <c r="D71" i="5" a="1"/>
  <c r="D102" i="5" a="1"/>
  <c r="D101" i="5" a="1"/>
  <c r="D67" i="5" a="1"/>
  <c r="D70" i="5" a="1"/>
  <c r="D61" i="5" a="1"/>
  <c r="D78" i="5" a="1"/>
  <c r="D69" i="5" a="1"/>
  <c r="D65" i="5" a="1"/>
  <c r="D93" i="5" a="1"/>
  <c r="D90" i="5" a="1"/>
  <c r="D55" i="5" a="1"/>
  <c r="D85" i="5" a="1"/>
  <c r="D97" i="5" a="1"/>
  <c r="D21" i="5" a="1"/>
  <c r="E57" i="5" a="1"/>
  <c r="E79" i="5" a="1"/>
  <c r="E67" i="5" a="1"/>
  <c r="E92" i="5" a="1"/>
  <c r="E76" i="5" a="1"/>
  <c r="E20" i="5" a="1"/>
  <c r="E100" i="5" a="1"/>
  <c r="E86" i="5" a="1"/>
  <c r="E56" i="5" a="1"/>
  <c r="E74" i="5" a="1"/>
  <c r="E23" i="5" a="1"/>
  <c r="E94" i="5" a="1"/>
  <c r="E84" i="5" a="1"/>
  <c r="E82" i="5" a="1"/>
  <c r="E98" i="5" a="1"/>
  <c r="E71" i="5" a="1"/>
  <c r="E96" i="5" a="1"/>
  <c r="E91" i="5" a="1"/>
  <c r="E89" i="5" a="1"/>
  <c r="E22" i="5" a="1"/>
  <c r="E59" i="5" a="1"/>
  <c r="E75" i="5" a="1"/>
  <c r="E93" i="5" a="1"/>
  <c r="E60" i="5" a="1"/>
  <c r="E62" i="5" a="1"/>
  <c r="E103" i="5" a="1"/>
  <c r="E63" i="5" a="1"/>
  <c r="E73" i="5" a="1"/>
  <c r="E68" i="5" a="1"/>
  <c r="E99" i="5" a="1"/>
  <c r="E64" i="5" a="1"/>
  <c r="E85" i="5" a="1"/>
  <c r="E54" i="5" a="1"/>
  <c r="E97" i="5" a="1"/>
  <c r="E70" i="5" a="1"/>
  <c r="E77" i="5" a="1"/>
  <c r="E69" i="5" a="1"/>
  <c r="E65" i="5" a="1"/>
  <c r="E66" i="5" a="1"/>
  <c r="E61" i="5" a="1"/>
  <c r="E88" i="5" a="1"/>
  <c r="E87" i="5" a="1"/>
  <c r="E58" i="5" a="1"/>
  <c r="E81" i="5" a="1"/>
  <c r="E55" i="5" a="1"/>
  <c r="E83" i="5" a="1"/>
  <c r="E78" i="5" a="1"/>
  <c r="E21" i="5" a="1"/>
  <c r="E95" i="5" a="1"/>
  <c r="E80" i="5" a="1"/>
  <c r="E102" i="5" a="1"/>
  <c r="E101" i="5" a="1"/>
  <c r="E90" i="5" a="1"/>
  <c r="E72" i="5" a="1"/>
  <c r="E72" i="5" l="1"/>
  <c r="E90" i="5"/>
  <c r="E101" i="5"/>
  <c r="E102" i="5"/>
  <c r="E80" i="5"/>
  <c r="E95" i="5"/>
  <c r="E21" i="5"/>
  <c r="E78" i="5"/>
  <c r="E83" i="5"/>
  <c r="E55" i="5"/>
  <c r="E81" i="5"/>
  <c r="E58" i="5"/>
  <c r="E87" i="5"/>
  <c r="E88" i="5"/>
  <c r="E61" i="5"/>
  <c r="E66" i="5"/>
  <c r="E65" i="5"/>
  <c r="E69" i="5"/>
  <c r="E77" i="5"/>
  <c r="E70" i="5"/>
  <c r="E97" i="5"/>
  <c r="E54" i="5"/>
  <c r="E85" i="5"/>
  <c r="E64" i="5"/>
  <c r="E99" i="5"/>
  <c r="E68" i="5"/>
  <c r="E73" i="5"/>
  <c r="E63" i="5"/>
  <c r="E103" i="5"/>
  <c r="E62" i="5"/>
  <c r="E60" i="5"/>
  <c r="E93" i="5"/>
  <c r="E75" i="5"/>
  <c r="E59" i="5"/>
  <c r="E22" i="5"/>
  <c r="E89" i="5"/>
  <c r="E91" i="5"/>
  <c r="E96" i="5"/>
  <c r="E71" i="5"/>
  <c r="E98" i="5"/>
  <c r="E82" i="5"/>
  <c r="E84" i="5"/>
  <c r="E94" i="5"/>
  <c r="E23" i="5"/>
  <c r="E74" i="5"/>
  <c r="E56" i="5"/>
  <c r="E86" i="5"/>
  <c r="E100" i="5"/>
  <c r="E20" i="5"/>
  <c r="E76" i="5"/>
  <c r="E92" i="5"/>
  <c r="E67" i="5"/>
  <c r="E79" i="5"/>
  <c r="E57" i="5"/>
  <c r="D21" i="5"/>
  <c r="D97" i="5"/>
  <c r="D85" i="5"/>
  <c r="D55" i="5"/>
  <c r="D90" i="5"/>
  <c r="D93" i="5"/>
  <c r="D65" i="5"/>
  <c r="D69" i="5"/>
  <c r="D78" i="5"/>
  <c r="D61" i="5"/>
  <c r="D70" i="5"/>
  <c r="D67" i="5"/>
  <c r="D101" i="5"/>
  <c r="D102" i="5"/>
  <c r="D71" i="5"/>
  <c r="D56" i="5"/>
  <c r="D74" i="5"/>
  <c r="D92" i="5"/>
  <c r="D96" i="5"/>
  <c r="D89" i="5"/>
  <c r="D86" i="5"/>
  <c r="D72" i="5"/>
  <c r="D23" i="5"/>
  <c r="D66" i="5"/>
  <c r="D88" i="5"/>
  <c r="D84" i="5"/>
  <c r="D77" i="5"/>
  <c r="D75" i="5"/>
  <c r="D83" i="5"/>
  <c r="D82" i="5"/>
  <c r="D87" i="5"/>
  <c r="D81" i="5"/>
  <c r="D79" i="5"/>
  <c r="D76" i="5"/>
  <c r="D100" i="5"/>
  <c r="D62" i="5"/>
  <c r="D99" i="5"/>
  <c r="D91" i="5"/>
  <c r="D63" i="5"/>
  <c r="D98" i="5"/>
  <c r="D57" i="5"/>
  <c r="D103" i="5"/>
  <c r="D54" i="5"/>
  <c r="D68" i="5"/>
  <c r="D22" i="5"/>
  <c r="D73" i="5"/>
  <c r="D60" i="5"/>
  <c r="D95" i="5"/>
  <c r="D58" i="5"/>
  <c r="D94" i="5"/>
  <c r="D59" i="5"/>
  <c r="D64" i="5"/>
  <c r="D80" i="5"/>
  <c r="D20" i="5"/>
  <c r="F18" i="5"/>
  <c r="G18" i="5" s="1"/>
  <c r="F19" i="5"/>
  <c r="G19" i="5" s="1"/>
  <c r="F21" i="5" l="1"/>
  <c r="G21" i="5" s="1"/>
  <c r="F23" i="5"/>
  <c r="G23" i="5" s="1"/>
  <c r="F22" i="5"/>
  <c r="G22" i="5" s="1"/>
  <c r="F20" i="5"/>
  <c r="G20"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<sst xmlns="http://schemas.openxmlformats.org/spreadsheetml/2006/main" count="359" uniqueCount="275">
  <si>
    <t>Investment Portfolio Chosen by the Optimizer</t>
  </si>
  <si>
    <t>ModelRisk example  ·  Corporate finance  ·  CF-09</t>
  </si>
  <si>
    <t>Which mix of equities, bonds and real estate earns most while the one-year 95% value at risk stays within the policy's limit?</t>
  </si>
  <si>
    <t>Next:  Inputs  ▸</t>
  </si>
  <si>
    <t>Model card</t>
  </si>
  <si>
    <t>Industry</t>
  </si>
  <si>
    <t>Corporate finance</t>
  </si>
  <si>
    <t>Difficulty</t>
  </si>
  <si>
    <t>★★★★☆   Fat-tailed returns joined by a Student copula; four weights chosen together by the ModelRisk Optimizer as a budget group, for the highest mean return within a value-at-risk limit, with an efficient frontier.</t>
  </si>
  <si>
    <t>Business question</t>
  </si>
  <si>
    <t>A company invests a US$500 million reserve in equities, government and corporate bonds and listed real estate. Its risk policy caps the one-year 95% value at risk at US$50 million and any one asset class at 60% of the reserve. Returns are fat-tailed and fall together in a crash. Which allocation earns the highest mean return within those limits?</t>
  </si>
  <si>
    <t>Who it is for</t>
  </si>
  <si>
    <t>Treasurers and investment committees of corporate reserves, pension and insurance portfolios; risk managers.</t>
  </si>
  <si>
    <t>Main outputs</t>
  </si>
  <si>
    <t>The Optimizer's allocation against a starting plan (CF-06's allocation) · for both plans: the mean return and expected gain, value at risk at 95% and 99%, expected shortfall and the chance of a large loss · the efficient frontier: the best mean return and allocation at five VaR limits · the distribution of the loss.</t>
  </si>
  <si>
    <t>ModelRisk techniques</t>
  </si>
  <si>
    <t>The ModelRisk Optimizer: four continuous weights in a budget group (their total stays 100%), the mean return maximised, a percentile constraint (the 95% VaR) and a formula constraint · an efficient frontier from five runs · fat-tailed returns (VoseStudent3) joined by a Student copula (VoseCopulaMultiT) · both plans on the same simulated years.</t>
  </si>
  <si>
    <t>File</t>
  </si>
  <si>
    <t>CF-09 Investment portfolio chosen by the Optimizer  ·  Version 1.0  ·  October 2026  ·  built with ModelRisk 10</t>
  </si>
  <si>
    <t>The business question</t>
  </si>
  <si>
    <t>A company holds a US$500 million reserve: 40% in global equities, 30% in government bonds, 20% in corporate bonds and 10% in listed real estate. CF-06 measured its one-year 95% value at risk with fat-tailed returns that crash together, and found it well inside the policy's US$50 million limit. Is the unused risk worth taking, and in which assets? Here the ModelRisk Optimizer chooses the four weights together.</t>
  </si>
  <si>
    <t>How the model works</t>
  </si>
  <si>
    <t>Four sheets after this one, read from left to right. Each one feeds the next.</t>
  </si>
  <si>
    <t>1  Inputs</t>
  </si>
  <si>
    <t>The amount invested and the policy's limit on the one-year 95% value at risk; the degrees of freedom of the fat-tailed returns and of the Student copula; each asset class's expected return and volatility; the six correlations.</t>
  </si>
  <si>
    <t>2  Decisions</t>
  </si>
  <si>
    <t>The four cells the Optimizer changes — the weights of the asset classes, in a budget group that keeps their total at 100% — with the policy's bounds, the starting plan they are compared with, the goal (the highest mean return) and the limit (the 95% VaR within the policy's limit).</t>
  </si>
  <si>
    <t>3  Portfolio</t>
  </si>
  <si>
    <t>Each iteration draws four correlated U values from a Student copula (VoseCopulaMultiT) and turns them into fat-tailed returns (VoseStudent3) with each class's mean and volatility. Both plans meet the same returns; the return and loss of each are recorded as outputs.</t>
  </si>
  <si>
    <t>4  Results</t>
  </si>
  <si>
    <t>Both plans on the same 10,000 simulated years: mean return, expected gain, value at risk, expected shortfall and the chance of a large loss; the efficient frontier, from an Optimizer run at each of five VaR limits; the distribution of the loss.</t>
  </si>
  <si>
    <t>How to use it</t>
  </si>
  <si>
    <t>Step 1</t>
  </si>
  <si>
    <t>Enter your amount, VaR limit, return and volatility assumptions and correlations on the Inputs sheet, and your policy's bounds on each weight on the Decisions sheet.</t>
  </si>
  <si>
    <t>Step 2</t>
  </si>
  <si>
    <t>On the ModelRisk ribbon, open the Optimizer: the task is saved in this workbook. Press Start. When it finishes, apply the best solution: the weights on the Decisions sheet change.</t>
  </si>
  <si>
    <t>Step 3</t>
  </si>
  <si>
    <t>Run a simulation from the ModelRisk ribbon (10,000 samples with a fixed seed are set) to compare the new plan with the starting plan on the Results sheet.</t>
  </si>
  <si>
    <t>Step 4</t>
  </si>
  <si>
    <t>For a frontier of your own, choose Start ▾ ▸ Start Efficient Frontier Analysis in the Optimizer and sweep the limit on the 95% VaR over the range you want.</t>
  </si>
  <si>
    <t>Step 5</t>
  </si>
  <si>
    <t>To watch the search from the beginning, copy the starting plan onto the plan in use first.</t>
  </si>
  <si>
    <t>Workbook map</t>
  </si>
  <si>
    <t>Inputs</t>
  </si>
  <si>
    <t>The amount and the VaR limit, the tails; the asset classes' returns and volatilities; the correlations.</t>
  </si>
  <si>
    <t>Decisions</t>
  </si>
  <si>
    <t>The weights: plan in use, starting plan, bounds; the goal and limits; the Optimizer's last run.</t>
  </si>
  <si>
    <t>Portfolio</t>
  </si>
  <si>
    <t>The matrix's eigenvalues; this year's returns; the return and loss of both plans; checks.</t>
  </si>
  <si>
    <t>Results</t>
  </si>
  <si>
    <t>The plan in use against the starting plan; the efficient frontier; the distribution of the loss.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</si>
  <si>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</si>
  <si>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</si>
  <si>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</si>
  <si>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</si>
  <si>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</si>
  <si>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</si>
  <si>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</si>
  <si>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</si>
  <si>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</si>
  <si>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</si>
  <si>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</si>
  <si>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</si>
  <si>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</si>
  <si>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</si>
  <si>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</si>
  <si>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a loss is positive, a gain negative.</t>
  </si>
  <si>
    <t>Weight</t>
  </si>
  <si>
    <t>The share of the reserve in an asset class; the four add up to 100%.</t>
  </si>
  <si>
    <t>Value at risk</t>
  </si>
  <si>
    <t>The loss exceeded in only 5% of years (VaR 95% = the 95th percentile of the loss).</t>
  </si>
  <si>
    <t>Expected shortfall</t>
  </si>
  <si>
    <t>The average loss in the worst 2.5% of years (ES 97.5%).</t>
  </si>
  <si>
    <t>Horizon</t>
  </si>
  <si>
    <t>One year; no rebalancing during the year.</t>
  </si>
  <si>
    <t>Key assumptions and limitations</t>
  </si>
  <si>
    <t>Returns</t>
  </si>
  <si>
    <t>CF-06's fat-tailed model: Student returns (5 degrees of freedom) with the stated means, volatilities and correlations, joined by a Student copula so that the asset classes tend to crash together.</t>
  </si>
  <si>
    <t>Policy</t>
  </si>
  <si>
    <t>At most 60% of the reserve in any one asset class; no borrowing and no short positions (no weight below 0%).</t>
  </si>
  <si>
    <t>Optimizer</t>
  </si>
  <si>
    <t>Each plan the Optimizer tries is judged on the same 10,000 simulated years (common random numbers, seed 1) as the simulation on the Results sheet, so plans are compared fairly and the limit the Optimizer met holds on the Results sheet too.</t>
  </si>
  <si>
    <t>Data</t>
  </si>
  <si>
    <t>The portfolio and all figures are invented for this example.</t>
  </si>
  <si>
    <t>ModelRisk functions used</t>
  </si>
  <si>
    <t>ModelRisk Optimizer</t>
  </si>
  <si>
    <t>Chooses the four weights: the highest mean return, with the 95% VaR at most the policy's limit; the weights form a budget group, which keeps their total at 100%.</t>
  </si>
  <si>
    <t>VoseEigenValues</t>
  </si>
  <si>
    <t>The eigenvalues of the correlation matrix: all above 0 for a valid matrix.</t>
  </si>
  <si>
    <t>VoseCopulaMultiT</t>
  </si>
  <si>
    <t>Four correlated U values each iteration, with tail dependence: joint crashes.</t>
  </si>
  <si>
    <t>VoseStudent3</t>
  </si>
  <si>
    <t>Fat-tailed returns from the U values, with each asset class's mean and standard deviation.</t>
  </si>
  <si>
    <t>VoseOutput</t>
  </si>
  <si>
    <t>The return and the loss of both plans, recorded at every sample.</t>
  </si>
  <si>
    <t>VoseSimMean, VoseSimPercentile</t>
  </si>
  <si>
    <t>The mean return and the value at risk of both plans.</t>
  </si>
  <si>
    <t>VoseSimCVARp, VoseSimProbability</t>
  </si>
  <si>
    <t>The expected shortfall and the chance of a large loss of both plans.</t>
  </si>
  <si>
    <t>Further reading</t>
  </si>
  <si>
    <t>Market risk</t>
  </si>
  <si>
    <t>McNeil, A. J., Frey, R. &amp; Embrechts, P. (2015). Quantitative Risk Management, revised edition. Princeton University Press.</t>
  </si>
  <si>
    <t>Risk-limited portfolios</t>
  </si>
  <si>
    <t>Rockafellar, R. T. &amp; Uryasev, S. (2000). Optimization of conditional value-at-risk. Journal of Risk, 2(3), 21–41.</t>
  </si>
  <si>
    <t>Companion model</t>
  </si>
  <si>
    <t>CF-06 Portfolio value at risk and expected shortfall: the same reserve and allocation, measured with Normal and with fat-tailed returns.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</si>
  <si>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</si>
  <si>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</si>
  <si>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</si>
  <si>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Decisions  ▸</t>
  </si>
  <si>
    <t>How to read this sheet:  yellow cells are inputs.</t>
  </si>
  <si>
    <t>1   Portfolio</t>
  </si>
  <si>
    <t>How much is invested, and the risk policy's limit.</t>
  </si>
  <si>
    <t>Assumption</t>
  </si>
  <si>
    <t>Unit</t>
  </si>
  <si>
    <t>Value in model</t>
  </si>
  <si>
    <t>Uncertainty</t>
  </si>
  <si>
    <t>Basis / source (illustrative)</t>
  </si>
  <si>
    <t>Amount invested</t>
  </si>
  <si>
    <t>US$m</t>
  </si>
  <si>
    <t>Fixed</t>
  </si>
  <si>
    <t>Limit on the one-year 95% value at risk</t>
  </si>
  <si>
    <t>Risk policy: 10% of the reserve. The Optimizer's limit.</t>
  </si>
  <si>
    <t>2   Tails</t>
  </si>
  <si>
    <t>What makes the returns fat-tailed and crash together.</t>
  </si>
  <si>
    <t>Degrees of freedom of the returns</t>
  </si>
  <si>
    <t>Lower = fatter tails; 5 fits monthly equity data.</t>
  </si>
  <si>
    <t>Degrees of freedom of the Student copula</t>
  </si>
  <si>
    <t>Lower = more joint extremes.</t>
  </si>
  <si>
    <t>A large loss</t>
  </si>
  <si>
    <t>20% of the portfolio.</t>
  </si>
  <si>
    <t>3   Asset classes</t>
  </si>
  <si>
    <t>Expected return and volatility over one year. The weights are decisions: see the Decisions sheet.</t>
  </si>
  <si>
    <t>Asset class</t>
  </si>
  <si>
    <t>Expected</t>
  </si>
  <si>
    <t>Volatility</t>
  </si>
  <si>
    <t>return a year</t>
  </si>
  <si>
    <t>a year</t>
  </si>
  <si>
    <t>Global equities</t>
  </si>
  <si>
    <t>Long-run assumptions of the investment committee.</t>
  </si>
  <si>
    <t>Government bonds</t>
  </si>
  <si>
    <t>Corporate bonds</t>
  </si>
  <si>
    <t>Listed real estate</t>
  </si>
  <si>
    <t>4   Correlations</t>
  </si>
  <si>
    <t>Between the one-year returns. Enter the yellow cells above the diagonal; the cells below it mirror them.</t>
  </si>
  <si>
    <t>Equities</t>
  </si>
  <si>
    <t>Gov. bonds</t>
  </si>
  <si>
    <t>Corp. bonds</t>
  </si>
  <si>
    <t>Real estate</t>
  </si>
  <si>
    <t>Equities and government bonds tend to move apart.</t>
  </si>
  <si>
    <t>DECISIONS   ·   The cells the ModelRisk Optimizer changes, the plan they are compared with, and what the Optimizer is asked to do.</t>
  </si>
  <si>
    <t>◂  Inputs</t>
  </si>
  <si>
    <t>Next:  Portfolio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</si>
  <si>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</si>
  <si>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The asset allocation</t>
  </si>
  <si>
    <t>The Optimizer changes the blue cells as a budget group: the four weights keep their total of 100%. The starting plan is CF-06's allocation.</t>
  </si>
  <si>
    <t>Plan in use</t>
  </si>
  <si>
    <t>Starting plan</t>
  </si>
  <si>
    <t>Lowest</t>
  </si>
  <si>
    <t>Highest</t>
  </si>
  <si>
    <t>Kind</t>
  </si>
  <si>
    <t>Notes</t>
  </si>
  <si>
    <t>of reserve</t>
  </si>
  <si>
    <t>Continuous</t>
  </si>
  <si>
    <t>Highest expected return and volatility.</t>
  </si>
  <si>
    <t>The cushion: tends to rise when equities fall.</t>
  </si>
  <si>
    <t>A little more return than government bonds; falls with equities.</t>
  </si>
  <si>
    <t>Less return than equities for more volatility.</t>
  </si>
  <si>
    <t>2   Goal and limits</t>
  </si>
  <si>
    <t>What the Optimizer is asked to do. It judges every plan it tries by these statistics of a simulation of that plan.</t>
  </si>
  <si>
    <t>Statistic</t>
  </si>
  <si>
    <t>Limit</t>
  </si>
  <si>
    <t>Output cell</t>
  </si>
  <si>
    <t>Maximise:  Return of the plan in use</t>
  </si>
  <si>
    <t>the mean</t>
  </si>
  <si>
    <t>Portfolio!C26</t>
  </si>
  <si>
    <t>Keep:  Value at risk, 95%  at most</t>
  </si>
  <si>
    <t>the 95th percentile of the loss  ·  the input VaR limit</t>
  </si>
  <si>
    <t>Portfolio!D26</t>
  </si>
  <si>
    <t>Keep:  The whole reserve invested</t>
  </si>
  <si>
    <t>true in every plan tried:  weights add up to 100%</t>
  </si>
  <si>
    <t>Portfolio!E26</t>
  </si>
  <si>
    <t>3   The Optimizer's run</t>
  </si>
  <si>
    <t>Recorded when this workbook was built: the run that chose the plan in use. A run of your own shows its results in the Optimizer window instead.</t>
  </si>
  <si>
    <t>Run on</t>
  </si>
  <si>
    <t>Method the Optimizer chose</t>
  </si>
  <si>
    <t>Plans tried  (one simulation each)</t>
  </si>
  <si>
    <t>Samples in each trial</t>
  </si>
  <si>
    <t>Run time, seconds</t>
  </si>
  <si>
    <t>Why it stopped</t>
  </si>
  <si>
    <t>Every limit met by the best plan</t>
  </si>
  <si>
    <t>Goal at the best plan, during the run</t>
  </si>
  <si>
    <t>PORTFOLIO   ·   This year's returns, and the return and loss of both plans (US$m).</t>
  </si>
  <si>
    <t>◂  Decisions</t>
  </si>
  <si>
    <t>Next:  Results  ▸</t>
  </si>
  <si>
    <t>1   Is the correlation matrix valid?</t>
  </si>
  <si>
    <t>The eigenvalues of the matrix on the Inputs sheet: a valid correlation matrix has every one above 0.</t>
  </si>
  <si>
    <t>1</t>
  </si>
  <si>
    <t>2</t>
  </si>
  <si>
    <t>3</t>
  </si>
  <si>
    <t>4</t>
  </si>
  <si>
    <t>Eigenvalues</t>
  </si>
  <si>
    <t>VoseEigenValues; they add up to 4, the size of the matrix.</t>
  </si>
  <si>
    <t>2   This year's returns</t>
  </si>
  <si>
    <t>Fat-tailed returns that tend to crash together; the same returns for both plans.</t>
  </si>
  <si>
    <t>U, Student</t>
  </si>
  <si>
    <t>Return</t>
  </si>
  <si>
    <t>Weight,</t>
  </si>
  <si>
    <t>return</t>
  </si>
  <si>
    <t>copula</t>
  </si>
  <si>
    <t>this year</t>
  </si>
  <si>
    <t>starting plan</t>
  </si>
  <si>
    <t>plan in use</t>
  </si>
  <si>
    <t>VoseCopulaMultiT: four U values with tail dependence.</t>
  </si>
  <si>
    <t>VoseStudent3(mean, volatility, degrees of freedom, U).</t>
  </si>
  <si>
    <t>The weights come from the Decisions sheet.</t>
  </si>
  <si>
    <t>Total</t>
  </si>
  <si>
    <t>3   Both plans this year</t>
  </si>
  <si>
    <t>The same returns, two allocations. The return and the loss are outputs.</t>
  </si>
  <si>
    <t>Plan</t>
  </si>
  <si>
    <t>Loss</t>
  </si>
  <si>
    <t>Weights</t>
  </si>
  <si>
    <t>total 100%</t>
  </si>
  <si>
    <t>Return = SUMPRODUCT(weights, returns)</t>
  </si>
  <si>
    <t>Loss = − return × amount invested  (a gain is negative)</t>
  </si>
  <si>
    <t>Weights = TRUE when the plan's weights add up to 100%</t>
  </si>
  <si>
    <t>4   Model checks</t>
  </si>
  <si>
    <t>Should all read OK. A CHECK means an input has been set outside the range the model is built for.</t>
  </si>
  <si>
    <t>The weights of both plans add up to 100%</t>
  </si>
  <si>
    <t>The plan in use is within the bounds on the Decisions sheet</t>
  </si>
  <si>
    <t>The correlation matrix is valid  (every eigenvalue above 0)</t>
  </si>
  <si>
    <t>RESULTS   ·   Filled in automatically from the last simulation. Run a simulation after changing any input.</t>
  </si>
  <si>
    <t>◂  Portfolio</t>
  </si>
  <si>
    <t>1   The plan in use against the starting plan</t>
  </si>
  <si>
    <t>One-year loss — cumulative probability</t>
  </si>
  <si>
    <t>The two allocations, and how each does in the same 10,000 simulated years.</t>
  </si>
  <si>
    <t>Change</t>
  </si>
  <si>
    <t>Measure</t>
  </si>
  <si>
    <t>Mean return</t>
  </si>
  <si>
    <t>Expected gain</t>
  </si>
  <si>
    <t>US$m a year</t>
  </si>
  <si>
    <t>Value at risk, 95%</t>
  </si>
  <si>
    <t>Value at risk, 99%</t>
  </si>
  <si>
    <t>Expected shortfall, 97.5%</t>
  </si>
  <si>
    <t>Chance of a large loss  (Inputs sheet)</t>
  </si>
  <si>
    <t>of years</t>
  </si>
  <si>
    <t>Limit on the 95% value at risk  (Inputs sheet)</t>
  </si>
  <si>
    <t>Expected gain = mean return × amount invested. A large loss is one above the amount on the Inputs sheet.</t>
  </si>
  <si>
    <t>2   The efficient frontier</t>
  </si>
  <si>
    <t>Best mean return at each limit on the 95% VaR</t>
  </si>
  <si>
    <t>The best mean return at five limits on the 95% VaR: the Optimizer run again at each.</t>
  </si>
  <si>
    <t>Limit on the 95% value at risk</t>
  </si>
  <si>
    <t>weight</t>
  </si>
  <si>
    <t>Filled in when the workbook was built: one Optimizer run at each limit. Bold: the policy's limit.</t>
  </si>
  <si>
    <t>3   How to read these results</t>
  </si>
  <si>
    <t>•  The starting plan — CF-06's 40% equities, 30% government bonds, 20% corporate bonds and 10% real estate — keeps its 95% VaR well inside the US$50 million limit, at about US$42 million, for a mean return of about 5.4% a year.</t>
  </si>
  <si>
    <t>•  The Optimizer moves about a third of the government bonds into equities and corporate bonds: its plan holds about 43% equities, 19% government bonds, 28% corporate bonds and 10% real estate. The VaR rises to about US$48 million, inside the limit, and the mean return by about 0.2 points, some US$1 million a year.</t>
  </si>
  <si>
    <t>•  The frontier repeats the run at four other limits. Loosening the limit from US$40 million to US$60 million lifts the best mean return found from about 5.2% to about 5.7% a year. Each run stopped at its 15-minute time limit, so a longer run may find slightly better plans.</t>
  </si>
  <si>
    <t>•  Corporate bonds and real estate are near-substitutes: quite different mixes earn almost the same, so their weights jump between frontier points and may differ from one run to the next.</t>
  </si>
  <si>
    <t>•  The tail beyond the VaR grows too: the plan in use's 99% VaR and expected shortfall are higher. A limit on the 95% VaR alone does not control them (CF-06); to do so, add a second limit, for example on the 99th percentile of the loss.</t>
  </si>
  <si>
    <t>Chart data</t>
  </si>
  <si>
    <t>Statistics of the last simulation behind the charts and the ranking above. Grouped: click + in the left margin to show them.</t>
  </si>
  <si>
    <t>Cumulative probability</t>
  </si>
  <si>
    <t>Exceedance</t>
  </si>
  <si>
    <t>Out_Loss_Start</t>
  </si>
  <si>
    <t>Out_Loss_Plan</t>
  </si>
  <si>
    <t>line at VaRLimit</t>
  </si>
  <si>
    <t>MROPTREPO/2.0</t>
  </si>
  <si>
    <t>{"format_version":"1.0","model":"Investment portfolio: asset-class weights","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300,"maxTimeSeconds":900.0,"parameterTolerance":1.0,"toleranceUnit":1,"stagnationTrials":100,"stagnationDeviation":1e-06,"stagnationUnit":0,"stopOnError":false,"stopFormulaEnabled":false,"stopFormulaRef":""},"adj":{"variables":[{"cell":{"sheet":"Decisions","row":10,"col":3},"type":0,"min":0.0,"max":0.6,"groupIndex":0,"label":"Global equities","discreteSet":[],"minCell":{"sheet":"Decisions","row":10,"col":5},"maxCell":{"sheet":"Decisions","row":10,"col":6}},{"cell":{"sheet":"Decisions","row":11,"col":3},"type":0,"min":0.0,"max":0.6,"groupIndex":0,"label":"Government bonds","discreteSet":[],"minCell":{"sheet":"Decisions","row":11,"col":5},"maxCell":{"sheet":"Decisions","row":11,"col":6}},{"cell":{"sheet":"Decisions","row":12,"col":3},"type":0,"min":0.0,"max":0.6,"groupIndex":0,"label":"Corporate bonds","discreteSet":[],"minCell":{"sheet":"Decisions","row":12,"col":5},"maxCell":{"sheet":"Decisions","row":12,"col":6}},{"cell":{"sheet":"Decisions","row":13,"col":3},"type":0,"min":0.0,"max":0.6,"groupIndex":0,"label":"Listed real estate","discreteSet":[],"minCell":{"sheet":"Decisions","row":13,"col":5},"maxCell":{"sheet":"Decisions","row":13,"col":6}}],"groups":[{"name":"Allocation","method":2,"budgetTolerance":1e-09,"projectMaxItems":-1,"scheduleSlotCount":0,"varIdx":[0,1,2,3],"precedences":[]}]},"objectives":[{"name":"Return of the plan in use","cell":{"sheet":"Portfolio","row":25,"col":2},"stat":{"kind":0,"param1":0.0,"param2":0.0},"mode":0,"targetValue":0.0}],"constraints":[{"name":"Value at risk, 95%","cell":{"sheet":"Portfolio","row":25,"col":3},"type":0,"softWeight":1.0,"penaltyKind":0,"sixSigma":0,"precision":0.0,"stat":{"kind":7,"param1":0.95,"param2":0.0},"op":0,"rhsA":50.0,"rhsB":0.0,"formulaCellRef":"","evalTime":2,"rhsACell":{"sheet":"Inputs","row":11,"col":3}},{"name":"The whole reserve invested","cell":{"sheet":"Portfolio","row":25,"col":4},"type":0,"softWeight":1.0,"penaltyKind":0,"sixSigma":0,"precision":0.0,"stat":{"kind":0,"param1":0.0,"param2":0.0},"op":7,"rhsA":0.0,"rhsB":0.0,"formulaCellRef":"Portfolio!$E$26","evalTime":2}],"frontier":{"sweptIndex":-1,"lo":0.0,"hi":0.0,"nPoints":5}}</t>
  </si>
  <si>
    <t>Base scenario</t>
  </si>
  <si>
    <t>time limit reached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</si>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</sst>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
    <numFmt numFmtId="166" formatCode="#,##0.0"/>
    <numFmt numFmtId="167" formatCode="0.000"/>
    <numFmt numFmtId="168" formatCode="#,##0.0_);\(#,##0.0\);&quot;–&quot;_)"/>
    <numFmt numFmtId="169" formatCode="0.0%;\-0.0%;0.0%;&quot;–&quot;"/>
    <numFmt numFmtId="170" formatCode="0.00%;\-0.00%;0.00%;&quot;–&quot;"/>
    <numFmt numFmtId="171" formatCode="#,##0.0_);\(#,##0.0\);&quot;–&quot;_);&quot;–&quot;"/>
    <numFmt numFmtId="172" formatCode="&quot;VaR at most US$&quot;#,##0&quot;m&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0"/>
      <color rgb="FF0E4F92"/>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b/>
      <sz val="9"/>
      <color rgb="FF15803D"/>
      <name val="Calibri"/>
    </font>
    <font>
      <b/>
      <sz val="11"/>
      <color rgb="FF0E4F92"/>
      <name val="Calibri"/>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0E4F92"/>
      </left>
      <right style="thin">
        <color rgb="FF0E4F92"/>
      </right>
      <top style="thin">
        <color rgb="FF0E4F92"/>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86">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1" fontId="1" fillId="2" borderId="8" xfId="1" applyNumberFormat="1" applyBorder="1">
      <alignment horizontal="right" vertical="center"/>
    </xf>
    <xf numFmtId="0" fontId="17" fillId="8" borderId="2" xfId="0" applyFont="1" applyFill="1" applyBorder="1" applyAlignment="1">
      <alignment horizontal="left" vertical="center" indent="1"/>
    </xf>
    <xf numFmtId="0" fontId="0" fillId="8" borderId="2" xfId="0" applyFill="1" applyBorder="1"/>
    <xf numFmtId="0" fontId="17" fillId="8" borderId="2" xfId="0" applyFont="1" applyFill="1" applyBorder="1" applyAlignment="1">
      <alignment horizontal="right" vertical="center"/>
    </xf>
    <xf numFmtId="0" fontId="17" fillId="8" borderId="5" xfId="0" applyFont="1" applyFill="1" applyBorder="1" applyAlignment="1">
      <alignment horizontal="left" vertical="center" indent="1"/>
    </xf>
    <xf numFmtId="0" fontId="19" fillId="8" borderId="5" xfId="0" applyFont="1" applyFill="1" applyBorder="1" applyAlignment="1">
      <alignment horizontal="right" vertical="center"/>
    </xf>
    <xf numFmtId="165" fontId="1" fillId="2" borderId="8" xfId="1" applyNumberFormat="1" applyBorder="1">
      <alignment horizontal="right" vertical="center"/>
    </xf>
    <xf numFmtId="0" fontId="17" fillId="8" borderId="5" xfId="0" applyFont="1" applyFill="1" applyBorder="1" applyAlignment="1">
      <alignment horizontal="right" vertical="center"/>
    </xf>
    <xf numFmtId="2" fontId="3" fillId="0" borderId="9" xfId="3" applyNumberFormat="1" applyBorder="1">
      <alignment horizontal="right" vertical="center"/>
    </xf>
    <xf numFmtId="2" fontId="1" fillId="2" borderId="8" xfId="1" applyNumberFormat="1" applyBorder="1">
      <alignment horizontal="right" vertical="center"/>
    </xf>
    <xf numFmtId="165" fontId="5" fillId="6" borderId="10" xfId="6" applyNumberFormat="1" applyBorder="1">
      <alignment horizontal="right" vertical="center"/>
    </xf>
    <xf numFmtId="0" fontId="13" fillId="0" borderId="7" xfId="0" applyFont="1" applyBorder="1" applyAlignment="1">
      <alignment horizontal="left" vertical="center" indent="1"/>
    </xf>
    <xf numFmtId="164" fontId="3" fillId="0" borderId="9" xfId="3" applyNumberFormat="1" applyBorder="1">
      <alignment horizontal="right" vertical="center"/>
    </xf>
    <xf numFmtId="0" fontId="13" fillId="0" borderId="7" xfId="0" applyFont="1" applyBorder="1" applyAlignment="1">
      <alignment horizontal="right" vertical="center"/>
    </xf>
    <xf numFmtId="0" fontId="3" fillId="0" borderId="9" xfId="3" applyBorder="1">
      <alignment horizontal="right" vertical="center"/>
    </xf>
    <xf numFmtId="3" fontId="3" fillId="0" borderId="9" xfId="3" applyNumberFormat="1" applyBorder="1">
      <alignment horizontal="right" vertical="center"/>
    </xf>
    <xf numFmtId="166" fontId="3" fillId="0" borderId="9" xfId="3" applyNumberFormat="1" applyBorder="1">
      <alignment horizontal="right" vertical="center"/>
    </xf>
    <xf numFmtId="4" fontId="3" fillId="0" borderId="9" xfId="3" applyNumberFormat="1" applyBorder="1">
      <alignment horizontal="right" vertical="center"/>
    </xf>
    <xf numFmtId="167" fontId="3" fillId="0" borderId="9" xfId="3" applyNumberFormat="1" applyBorder="1">
      <alignment horizontal="right" vertical="center"/>
    </xf>
    <xf numFmtId="165" fontId="3" fillId="0" borderId="9" xfId="3" applyNumberFormat="1" applyBorder="1">
      <alignment horizontal="right" vertical="center"/>
    </xf>
    <xf numFmtId="167" fontId="2" fillId="3" borderId="8" xfId="2" applyNumberFormat="1" applyBorder="1">
      <alignment horizontal="right" vertical="center"/>
    </xf>
    <xf numFmtId="165" fontId="2" fillId="3" borderId="8" xfId="2" applyNumberFormat="1" applyBorder="1">
      <alignment horizontal="right" vertical="center"/>
    </xf>
    <xf numFmtId="165" fontId="13" fillId="0" borderId="9" xfId="3" applyNumberFormat="1" applyFont="1" applyBorder="1">
      <alignment horizontal="right" vertical="center"/>
    </xf>
    <xf numFmtId="165" fontId="4" fillId="4" borderId="11" xfId="4" applyNumberFormat="1" applyBorder="1">
      <alignment horizontal="right" vertical="center"/>
    </xf>
    <xf numFmtId="168" fontId="4" fillId="4" borderId="11" xfId="4" applyNumberFormat="1" applyBorder="1">
      <alignment horizontal="right" vertical="center"/>
    </xf>
    <xf numFmtId="0" fontId="0" fillId="0" borderId="7" xfId="0" applyBorder="1" applyAlignment="1">
      <alignment horizontal="right" vertical="center"/>
    </xf>
    <xf numFmtId="0" fontId="18" fillId="0" borderId="0" xfId="0" applyFont="1" applyAlignment="1">
      <alignment horizontal="left" vertical="center" indent="1"/>
    </xf>
    <xf numFmtId="0" fontId="20"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22" fillId="0" borderId="6" xfId="0" applyFont="1" applyBorder="1"/>
    <xf numFmtId="165" fontId="5" fillId="0" borderId="9" xfId="3" applyNumberFormat="1" applyFont="1" applyBorder="1">
      <alignment horizontal="right" vertical="center"/>
    </xf>
    <xf numFmtId="169" fontId="3" fillId="0" borderId="9" xfId="3" applyNumberFormat="1" applyBorder="1">
      <alignment horizontal="right" vertical="center"/>
    </xf>
    <xf numFmtId="170" fontId="1" fillId="5" borderId="8" xfId="5" applyNumberFormat="1" applyBorder="1">
      <alignment horizontal="right" vertical="center"/>
    </xf>
    <xf numFmtId="0" fontId="21" fillId="0" borderId="7" xfId="0" applyFont="1" applyBorder="1" applyAlignment="1">
      <alignment horizontal="right" vertical="center"/>
    </xf>
    <xf numFmtId="171" fontId="1" fillId="5" borderId="8" xfId="5" applyNumberFormat="1" applyBorder="1">
      <alignment horizontal="right" vertical="center"/>
    </xf>
    <xf numFmtId="171" fontId="3" fillId="0" borderId="9" xfId="3" applyNumberFormat="1" applyBorder="1">
      <alignment horizontal="right" vertical="center"/>
    </xf>
    <xf numFmtId="169" fontId="1" fillId="5" borderId="8" xfId="5" applyNumberFormat="1" applyBorder="1">
      <alignment horizontal="right" vertical="center"/>
    </xf>
    <xf numFmtId="168" fontId="3" fillId="0" borderId="9" xfId="3" applyNumberFormat="1" applyBorder="1">
      <alignment horizontal="right" vertical="center"/>
    </xf>
    <xf numFmtId="0" fontId="14" fillId="0" borderId="0" xfId="0" applyFont="1" applyAlignment="1">
      <alignment horizontal="left" vertical="center" indent="1"/>
    </xf>
    <xf numFmtId="0" fontId="17" fillId="8" borderId="2" xfId="0" applyFont="1" applyFill="1" applyBorder="1" applyAlignment="1">
      <alignment horizontal="left" vertical="center" wrapText="1" indent="1"/>
    </xf>
    <xf numFmtId="0" fontId="17" fillId="8" borderId="2" xfId="0" applyFont="1" applyFill="1" applyBorder="1" applyAlignment="1">
      <alignment horizontal="right" vertical="center" wrapText="1"/>
    </xf>
    <xf numFmtId="172" fontId="3" fillId="0" borderId="9" xfId="3" applyNumberFormat="1" applyBorder="1" applyAlignment="1">
      <alignment horizontal="left" vertical="center" indent="1"/>
    </xf>
    <xf numFmtId="10" fontId="3" fillId="0" borderId="9" xfId="3"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49" fontId="0" fillId="0" borderId="0" xfId="0" applyNumberFormat="1"/>
    <xf numFmtId="0" fontId="3" fillId="0" borderId="9" xfId="3" quotePrefix="1" applyBorder="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b/>
      </font>
    </dxf>
    <dxf>
      <font>
        <b/>
      </font>
    </dxf>
    <dxf>
      <font>
        <b/>
      </font>
    </dxf>
    <dxf>
      <font>
        <b/>
      </font>
    </dxf>
    <dxf>
      <font>
        <b/>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Best plan at each limit (the frontier)</c:v>
          </c:tx>
          <c:spPr>
            <a:ln w="22000">
              <a:solidFill>
                <a:srgbClr val="0E4F92"/>
              </a:solidFill>
              <a:prstDash val="solid"/>
            </a:ln>
          </c:spPr>
          <c:marker>
            <c:symbol val="circle"/>
            <c:size val="6"/>
            <c:spPr>
              <a:solidFill>
                <a:srgbClr val="0E4F92"/>
              </a:solidFill>
              <a:ln>
                <a:solidFill>
                  <a:srgbClr val="0E4F92"/>
                </a:solidFill>
                <a:prstDash val="solid"/>
              </a:ln>
            </c:spPr>
          </c:marker>
          <c:xVal>
            <c:numRef>
              <c:f>Results!$B$31:$B$35</c:f>
              <c:numCache>
                <c:formatCode>"VaR at most US$"#,##0"m"</c:formatCode>
                <c:ptCount val="5"/>
                <c:pt idx="0">
                  <c:v>40</c:v>
                </c:pt>
                <c:pt idx="1">
                  <c:v>45</c:v>
                </c:pt>
                <c:pt idx="2">
                  <c:v>50</c:v>
                </c:pt>
                <c:pt idx="3">
                  <c:v>55</c:v>
                </c:pt>
                <c:pt idx="4">
                  <c:v>60</c:v>
                </c:pt>
              </c:numCache>
            </c:numRef>
          </c:xVal>
          <c:yVal>
            <c:numRef>
              <c:f>Results!$C$31:$C$35</c:f>
              <c:numCache>
                <c:formatCode>0.00%</c:formatCode>
                <c:ptCount val="5"/>
                <c:pt idx="0">
                  <c:v>5.220296529E-2</c:v>
                </c:pt>
                <c:pt idx="1">
                  <c:v>5.4069242109999999E-2</c:v>
                </c:pt>
                <c:pt idx="2">
                  <c:v>5.460683928E-2</c:v>
                </c:pt>
                <c:pt idx="3">
                  <c:v>5.5252847110000003E-2</c:v>
                </c:pt>
                <c:pt idx="4">
                  <c:v>5.6822741060000001E-2</c:v>
                </c:pt>
              </c:numCache>
            </c:numRef>
          </c:yVal>
          <c:smooth val="0"/>
          <c:extLst>
            <c:ext xmlns:c16="http://schemas.microsoft.com/office/drawing/2014/chart" uri="{C3380CC4-5D6E-409C-BE32-E72D297353CC}">
              <c16:uniqueId val="{00000000-5F29-4B35-BCB1-9F59FED1A78D}"/>
            </c:ext>
          </c:extLst>
        </c:ser>
        <c:ser>
          <c:idx val="1"/>
          <c:order val="1"/>
          <c:tx>
            <c:v>Starting plan</c:v>
          </c:tx>
          <c:spPr>
            <a:ln>
              <a:noFill/>
              <a:prstDash val="solid"/>
            </a:ln>
          </c:spPr>
          <c:marker>
            <c:symbol val="diamond"/>
            <c:size val="9"/>
            <c:spPr>
              <a:solidFill>
                <a:srgbClr val="B45309"/>
              </a:solidFill>
              <a:ln>
                <a:solidFill>
                  <a:srgbClr val="B45309"/>
                </a:solidFill>
                <a:prstDash val="solid"/>
              </a:ln>
            </c:spPr>
          </c:marker>
          <c:xVal>
            <c:numRef>
              <c:f>Results!$D$20</c:f>
              <c:numCache>
                <c:formatCode>#,##0.0_);\(#,##0.0\);"–"_);"–"</c:formatCode>
                <c:ptCount val="1"/>
                <c:pt idx="0">
                  <c:v>42.714787288786191</c:v>
                </c:pt>
              </c:numCache>
            </c:numRef>
          </c:xVal>
          <c:yVal>
            <c:numRef>
              <c:f>Results!$D$18</c:f>
              <c:numCache>
                <c:formatCode>0.00%;\-0.00%;0.00%;"–"</c:formatCode>
                <c:ptCount val="1"/>
                <c:pt idx="0">
                  <c:v>5.3749865544252859E-2</c:v>
                </c:pt>
              </c:numCache>
            </c:numRef>
          </c:yVal>
          <c:smooth val="1"/>
          <c:extLst>
            <c:ext xmlns:c16="http://schemas.microsoft.com/office/drawing/2014/chart" uri="{C3380CC4-5D6E-409C-BE32-E72D297353CC}">
              <c16:uniqueId val="{00000001-5F29-4B35-BCB1-9F59FED1A78D}"/>
            </c:ext>
          </c:extLst>
        </c:ser>
        <c:ser>
          <c:idx val="2"/>
          <c:order val="2"/>
          <c:tx>
            <c:v>Plan in use</c:v>
          </c:tx>
          <c:spPr>
            <a:ln>
              <a:noFill/>
              <a:prstDash val="solid"/>
            </a:ln>
          </c:spPr>
          <c:marker>
            <c:symbol val="square"/>
            <c:size val="9"/>
            <c:spPr>
              <a:solidFill>
                <a:srgbClr val="15803D"/>
              </a:solidFill>
              <a:ln>
                <a:solidFill>
                  <a:srgbClr val="15803D"/>
                </a:solidFill>
                <a:prstDash val="solid"/>
              </a:ln>
            </c:spPr>
          </c:marker>
          <c:xVal>
            <c:numRef>
              <c:f>Results!$E$20</c:f>
              <c:numCache>
                <c:formatCode>#,##0.0_);\(#,##0.0\);"–"_);"–"</c:formatCode>
                <c:ptCount val="1"/>
                <c:pt idx="0">
                  <c:v>49.639563390880156</c:v>
                </c:pt>
              </c:numCache>
            </c:numRef>
          </c:xVal>
          <c:yVal>
            <c:numRef>
              <c:f>Results!$E$18</c:f>
              <c:numCache>
                <c:formatCode>0.00%;\-0.00%;0.00%;"–"</c:formatCode>
                <c:ptCount val="1"/>
                <c:pt idx="0">
                  <c:v>5.5677642795605664E-2</c:v>
                </c:pt>
              </c:numCache>
            </c:numRef>
          </c:yVal>
          <c:smooth val="1"/>
          <c:extLst>
            <c:ext xmlns:c16="http://schemas.microsoft.com/office/drawing/2014/chart" uri="{C3380CC4-5D6E-409C-BE32-E72D297353CC}">
              <c16:uniqueId val="{00000002-5F29-4B35-BCB1-9F59FED1A78D}"/>
            </c:ext>
          </c:extLst>
        </c:ser>
        <c:dLbls>
          <c:showLegendKey val="0"/>
          <c:showVal val="0"/>
          <c:showCatName val="0"/>
          <c:showSerName val="0"/>
          <c:showPercent val="0"/>
          <c:showBubbleSize val="0"/>
        </c:dLbls>
        <c:axId val="10"/>
        <c:axId val="20"/>
      </c:scatterChart>
      <c:valAx>
        <c:axId val="10"/>
        <c:scaling>
          <c:orientation val="minMax"/>
          <c:max val="65"/>
          <c:min val="35"/>
        </c:scaling>
        <c:delete val="0"/>
        <c:axPos val="b"/>
        <c:title>
          <c:tx>
            <c:rich>
              <a:bodyPr/>
              <a:lstStyle/>
              <a:p>
                <a:pPr>
                  <a:defRPr/>
                </a:pPr>
                <a:r>
                  <a:t>95% value at risk (US$m): the limit, or the plan's own</a:t>
                </a:r>
              </a:p>
            </c:rich>
          </c:tx>
          <c:overlay val="0"/>
        </c:title>
        <c:numFmt formatCode="#,##0" sourceLinked="0"/>
        <c:majorTickMark val="none"/>
        <c:minorTickMark val="none"/>
        <c:tickLblPos val="nextTo"/>
        <c:crossAx val="20"/>
        <c:crosses val="autoZero"/>
        <c:crossBetween val="midCat"/>
        <c:majorUnit val="5"/>
      </c:valAx>
      <c:valAx>
        <c:axId val="20"/>
        <c:scaling>
          <c:orientation val="minMax"/>
        </c:scaling>
        <c:delete val="0"/>
        <c:axPos val="l"/>
        <c:majorGridlines>
          <c:spPr>
            <a:ln>
              <a:solidFill>
                <a:srgbClr val="E4E9F0"/>
              </a:solidFill>
              <a:prstDash val="solid"/>
            </a:ln>
          </c:spPr>
        </c:majorGridlines>
        <c:title>
          <c:tx>
            <c:rich>
              <a:bodyPr/>
              <a:lstStyle/>
              <a:p>
                <a:pPr>
                  <a:defRPr/>
                </a:pPr>
                <a:r>
                  <a:t>Mean return a year</a:t>
                </a:r>
              </a:p>
            </c:rich>
          </c:tx>
          <c:overlay val="0"/>
        </c:title>
        <c:numFmt formatCode="0.0%" sourceLinked="0"/>
        <c:majorTickMark val="none"/>
        <c:minorTickMark val="none"/>
        <c:tickLblPos val="nextTo"/>
        <c:crossAx val="10"/>
        <c:crosses val="min"/>
        <c:crossBetween val="midCat"/>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Results!$D$54:$D$103</c:f>
              <c:numCache>
                <c:formatCode>#,##0.00</c:formatCode>
                <c:ptCount val="50"/>
                <c:pt idx="0">
                  <c:v>-145.37652315697505</c:v>
                </c:pt>
                <c:pt idx="1">
                  <c:v>-111.77071364004846</c:v>
                </c:pt>
                <c:pt idx="2">
                  <c:v>-95.866725966770915</c:v>
                </c:pt>
                <c:pt idx="3">
                  <c:v>-86.093300580470611</c:v>
                </c:pt>
                <c:pt idx="4">
                  <c:v>-79.895955927015009</c:v>
                </c:pt>
                <c:pt idx="5">
                  <c:v>-74.768491816927167</c:v>
                </c:pt>
                <c:pt idx="6">
                  <c:v>-70.635676726480682</c:v>
                </c:pt>
                <c:pt idx="7">
                  <c:v>-66.562504997552821</c:v>
                </c:pt>
                <c:pt idx="8">
                  <c:v>-63.195391714339912</c:v>
                </c:pt>
                <c:pt idx="9">
                  <c:v>-59.611110221495785</c:v>
                </c:pt>
                <c:pt idx="10">
                  <c:v>-56.776951385765479</c:v>
                </c:pt>
                <c:pt idx="11">
                  <c:v>-54.117304310608667</c:v>
                </c:pt>
                <c:pt idx="12">
                  <c:v>-51.717755705661467</c:v>
                </c:pt>
                <c:pt idx="13">
                  <c:v>-49.352147080482503</c:v>
                </c:pt>
                <c:pt idx="14">
                  <c:v>-46.991662392611111</c:v>
                </c:pt>
                <c:pt idx="15">
                  <c:v>-44.864274294306988</c:v>
                </c:pt>
                <c:pt idx="16">
                  <c:v>-42.685297361343473</c:v>
                </c:pt>
                <c:pt idx="17">
                  <c:v>-40.782994940918641</c:v>
                </c:pt>
                <c:pt idx="18">
                  <c:v>-38.807584908298296</c:v>
                </c:pt>
                <c:pt idx="19">
                  <c:v>-36.964951615451717</c:v>
                </c:pt>
                <c:pt idx="20">
                  <c:v>-34.954965295297498</c:v>
                </c:pt>
                <c:pt idx="21">
                  <c:v>-33.046570135471192</c:v>
                </c:pt>
                <c:pt idx="22">
                  <c:v>-31.284313559017118</c:v>
                </c:pt>
                <c:pt idx="23">
                  <c:v>-29.439034714448734</c:v>
                </c:pt>
                <c:pt idx="24">
                  <c:v>-27.800250148580709</c:v>
                </c:pt>
                <c:pt idx="25">
                  <c:v>-26.001708992014873</c:v>
                </c:pt>
                <c:pt idx="26">
                  <c:v>-24.117728105562616</c:v>
                </c:pt>
                <c:pt idx="27">
                  <c:v>-22.236209395970786</c:v>
                </c:pt>
                <c:pt idx="28">
                  <c:v>-20.504763011243966</c:v>
                </c:pt>
                <c:pt idx="29">
                  <c:v>-18.802575643197212</c:v>
                </c:pt>
                <c:pt idx="30">
                  <c:v>-16.935560519582353</c:v>
                </c:pt>
                <c:pt idx="31">
                  <c:v>-15.027604515097931</c:v>
                </c:pt>
                <c:pt idx="32">
                  <c:v>-13.117159438352868</c:v>
                </c:pt>
                <c:pt idx="33">
                  <c:v>-11.262095604794011</c:v>
                </c:pt>
                <c:pt idx="34">
                  <c:v>-9.0523159585119828</c:v>
                </c:pt>
                <c:pt idx="35">
                  <c:v>-6.873481031406885</c:v>
                </c:pt>
                <c:pt idx="36">
                  <c:v>-4.4983114550632228</c:v>
                </c:pt>
                <c:pt idx="37">
                  <c:v>-2.1391140228691641</c:v>
                </c:pt>
                <c:pt idx="38">
                  <c:v>0.55781171650968431</c:v>
                </c:pt>
                <c:pt idx="39">
                  <c:v>3.3176300982633022</c:v>
                </c:pt>
                <c:pt idx="40">
                  <c:v>6.2097903283168359</c:v>
                </c:pt>
                <c:pt idx="41">
                  <c:v>9.0126061601835765</c:v>
                </c:pt>
                <c:pt idx="42">
                  <c:v>12.438933861785909</c:v>
                </c:pt>
                <c:pt idx="43">
                  <c:v>16.532079303362085</c:v>
                </c:pt>
                <c:pt idx="44">
                  <c:v>21.238206331242484</c:v>
                </c:pt>
                <c:pt idx="45">
                  <c:v>26.854595587642667</c:v>
                </c:pt>
                <c:pt idx="46">
                  <c:v>33.280372186031641</c:v>
                </c:pt>
                <c:pt idx="47">
                  <c:v>42.714787288786191</c:v>
                </c:pt>
                <c:pt idx="48">
                  <c:v>57.823566064887899</c:v>
                </c:pt>
                <c:pt idx="49">
                  <c:v>88.85543404044536</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6FDC-4C69-B6D1-64CA79117BFC}"/>
            </c:ext>
          </c:extLst>
        </c:ser>
        <c:ser>
          <c:idx val="1"/>
          <c:order val="1"/>
          <c:tx>
            <c:v>Plan in use</c:v>
          </c:tx>
          <c:spPr>
            <a:ln w="25400">
              <a:solidFill>
                <a:srgbClr val="B45309"/>
              </a:solidFill>
              <a:prstDash val="dash"/>
            </a:ln>
          </c:spPr>
          <c:marker>
            <c:symbol val="none"/>
          </c:marker>
          <c:xVal>
            <c:numRef>
              <c:f>Results!$E$54:$E$103</c:f>
              <c:numCache>
                <c:formatCode>#,##0.00</c:formatCode>
                <c:ptCount val="50"/>
                <c:pt idx="0">
                  <c:v>-157.64935617871234</c:v>
                </c:pt>
                <c:pt idx="1">
                  <c:v>-121.66403660641188</c:v>
                </c:pt>
                <c:pt idx="2">
                  <c:v>-103.81717635650537</c:v>
                </c:pt>
                <c:pt idx="3">
                  <c:v>-93.568169220345709</c:v>
                </c:pt>
                <c:pt idx="4">
                  <c:v>-86.021095105960313</c:v>
                </c:pt>
                <c:pt idx="5">
                  <c:v>-80.603432097196844</c:v>
                </c:pt>
                <c:pt idx="6">
                  <c:v>-76.09191541564995</c:v>
                </c:pt>
                <c:pt idx="7">
                  <c:v>-71.676773822326183</c:v>
                </c:pt>
                <c:pt idx="8">
                  <c:v>-67.493417825822092</c:v>
                </c:pt>
                <c:pt idx="9">
                  <c:v>-64.097294372130037</c:v>
                </c:pt>
                <c:pt idx="10">
                  <c:v>-60.762701326384175</c:v>
                </c:pt>
                <c:pt idx="11">
                  <c:v>-57.539196834093204</c:v>
                </c:pt>
                <c:pt idx="12">
                  <c:v>-55.042994778216524</c:v>
                </c:pt>
                <c:pt idx="13">
                  <c:v>-52.434412325421135</c:v>
                </c:pt>
                <c:pt idx="14">
                  <c:v>-49.959747366263848</c:v>
                </c:pt>
                <c:pt idx="15">
                  <c:v>-47.71645131968576</c:v>
                </c:pt>
                <c:pt idx="16">
                  <c:v>-45.183238371490198</c:v>
                </c:pt>
                <c:pt idx="17">
                  <c:v>-43.159909134164977</c:v>
                </c:pt>
                <c:pt idx="18">
                  <c:v>-41.110511242823669</c:v>
                </c:pt>
                <c:pt idx="19">
                  <c:v>-39.072770983743474</c:v>
                </c:pt>
                <c:pt idx="20">
                  <c:v>-36.685899599997917</c:v>
                </c:pt>
                <c:pt idx="21">
                  <c:v>-34.752296175057445</c:v>
                </c:pt>
                <c:pt idx="22">
                  <c:v>-32.757109917111563</c:v>
                </c:pt>
                <c:pt idx="23">
                  <c:v>-30.694202063265184</c:v>
                </c:pt>
                <c:pt idx="24">
                  <c:v>-28.945820165766836</c:v>
                </c:pt>
                <c:pt idx="25">
                  <c:v>-26.933763708071176</c:v>
                </c:pt>
                <c:pt idx="26">
                  <c:v>-25.032260608936337</c:v>
                </c:pt>
                <c:pt idx="27">
                  <c:v>-22.908600504854828</c:v>
                </c:pt>
                <c:pt idx="28">
                  <c:v>-21.097376075915783</c:v>
                </c:pt>
                <c:pt idx="29">
                  <c:v>-19.09963779366608</c:v>
                </c:pt>
                <c:pt idx="30">
                  <c:v>-17.099071202675947</c:v>
                </c:pt>
                <c:pt idx="31">
                  <c:v>-15.08481976250342</c:v>
                </c:pt>
                <c:pt idx="32">
                  <c:v>-12.77232344390384</c:v>
                </c:pt>
                <c:pt idx="33">
                  <c:v>-10.396143719418955</c:v>
                </c:pt>
                <c:pt idx="34">
                  <c:v>-8.1916158914049344</c:v>
                </c:pt>
                <c:pt idx="35">
                  <c:v>-5.6184302435581381</c:v>
                </c:pt>
                <c:pt idx="36">
                  <c:v>-3.0389473793915185</c:v>
                </c:pt>
                <c:pt idx="37">
                  <c:v>-0.17583618426019559</c:v>
                </c:pt>
                <c:pt idx="38">
                  <c:v>2.5255268613956958</c:v>
                </c:pt>
                <c:pt idx="39">
                  <c:v>5.3847815422205025</c:v>
                </c:pt>
                <c:pt idx="40">
                  <c:v>8.5517576674550551</c:v>
                </c:pt>
                <c:pt idx="41">
                  <c:v>11.802989431769678</c:v>
                </c:pt>
                <c:pt idx="42">
                  <c:v>15.918357783806414</c:v>
                </c:pt>
                <c:pt idx="43">
                  <c:v>20.157484885265983</c:v>
                </c:pt>
                <c:pt idx="44">
                  <c:v>25.315593197799515</c:v>
                </c:pt>
                <c:pt idx="45">
                  <c:v>31.360560384186812</c:v>
                </c:pt>
                <c:pt idx="46">
                  <c:v>38.838790018794271</c:v>
                </c:pt>
                <c:pt idx="47">
                  <c:v>49.639563390880156</c:v>
                </c:pt>
                <c:pt idx="48">
                  <c:v>65.873396556242355</c:v>
                </c:pt>
                <c:pt idx="49">
                  <c:v>97.965609411610032</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6FDC-4C69-B6D1-64CA79117BFC}"/>
            </c:ext>
          </c:extLst>
        </c:ser>
        <c:ser>
          <c:idx val="2"/>
          <c:order val="2"/>
          <c:tx>
            <c:v>Limit on the 95% VaR</c:v>
          </c:tx>
          <c:spPr>
            <a:ln w="19050">
              <a:solidFill>
                <a:srgbClr val="B91C1C"/>
              </a:solidFill>
              <a:prstDash val="sysDash"/>
            </a:ln>
          </c:spPr>
          <c:marker>
            <c:symbol val="none"/>
          </c:marker>
          <c:xVal>
            <c:numRef>
              <c:f>Results!$F$54:$F$103</c:f>
              <c:numCache>
                <c:formatCode>#,##0.00</c:formatCode>
                <c:ptCount val="5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numCache>
            </c:numRef>
          </c:xVal>
          <c:yVal>
            <c:numRef>
              <c:f>Results!$B$54:$B$103</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6FDC-4C69-B6D1-64CA79117BF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Loss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27</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9</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E4F92"/>
    <pageSetUpPr fitToPage="1"/>
  </sheetPr>
  <dimension ref="A1:D8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5"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79" t="s">
        <v>20</v>
      </c>
      <c r="C16" s="8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ht="26.25" x14ac:dyDescent="0.45">
      <c r="B34" s="9" t="s">
        <v>32</v>
      </c>
      <c r="C34" s="10" t="s">
        <v>33</v>
      </c>
    </row>
    <row r="35" spans="2:3" ht="26.25" x14ac:dyDescent="0.45">
      <c r="B35" s="9" t="s">
        <v>34</v>
      </c>
      <c r="C35" s="10" t="s">
        <v>35</v>
      </c>
    </row>
    <row r="36" spans="2:3" ht="26.25" x14ac:dyDescent="0.45">
      <c r="B36" s="9" t="s">
        <v>36</v>
      </c>
      <c r="C36" s="10" t="s">
        <v>37</v>
      </c>
    </row>
    <row r="37" spans="2:3" ht="26.25"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ht="12" customHeight="1" x14ac:dyDescent="0.45"/>
    <row r="46" spans="2:3" ht="22.05" customHeight="1" x14ac:dyDescent="0.5">
      <c r="B46" s="7" t="s">
        <v>51</v>
      </c>
      <c r="C46" s="8"/>
    </row>
    <row r="47" spans="2:3" x14ac:dyDescent="0.45">
      <c r="B47" s="15" t="s">
        <v>52</v>
      </c>
      <c r="C47" s="12" t="s">
        <v>53</v>
      </c>
    </row>
    <row r="48" spans="2:3" x14ac:dyDescent="0.45">
      <c r="B48" s="16" t="s">
        <v>54</v>
      </c>
      <c r="C48" s="12" t="s">
        <v>55</v>
      </c>
    </row>
    <row r="49" spans="2:3" x14ac:dyDescent="0.45">
      <c r="B49" s="17" t="s">
        <v>56</v>
      </c>
      <c r="C49" s="12" t="s">
        <v>57</v>
      </c>
    </row>
    <row r="50" spans="2:3" x14ac:dyDescent="0.45">
      <c r="B50" s="18" t="s">
        <v>58</v>
      </c>
      <c r="C50" s="12" t="s">
        <v>59</v>
      </c>
    </row>
    <row r="51" spans="2:3" x14ac:dyDescent="0.45">
      <c r="B51" s="19" t="s">
        <v>60</v>
      </c>
      <c r="C51" s="12" t="s">
        <v>61</v>
      </c>
    </row>
    <row r="52" spans="2:3" x14ac:dyDescent="0.45">
      <c r="B52" s="20" t="s">
        <v>62</v>
      </c>
      <c r="C52" s="12" t="s">
        <v>63</v>
      </c>
    </row>
    <row r="53" spans="2:3" ht="12" customHeight="1" x14ac:dyDescent="0.45"/>
    <row r="54" spans="2:3" ht="22.05" customHeight="1" x14ac:dyDescent="0.5">
      <c r="B54" s="7" t="s">
        <v>64</v>
      </c>
      <c r="C54" s="8"/>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x14ac:dyDescent="0.45">
      <c r="B59" s="9" t="s">
        <v>73</v>
      </c>
      <c r="C59" s="10" t="s">
        <v>74</v>
      </c>
    </row>
    <row r="60" spans="2:3" ht="12" customHeight="1" x14ac:dyDescent="0.45"/>
    <row r="61" spans="2:3" ht="22.05" customHeight="1" x14ac:dyDescent="0.5">
      <c r="B61" s="7" t="s">
        <v>75</v>
      </c>
      <c r="C61" s="8"/>
    </row>
    <row r="62" spans="2:3" ht="26.25" x14ac:dyDescent="0.45">
      <c r="B62" s="9" t="s">
        <v>76</v>
      </c>
      <c r="C62" s="10" t="s">
        <v>77</v>
      </c>
    </row>
    <row r="63" spans="2:3" x14ac:dyDescent="0.45">
      <c r="B63" s="9" t="s">
        <v>78</v>
      </c>
      <c r="C63" s="10" t="s">
        <v>79</v>
      </c>
    </row>
    <row r="64" spans="2:3" ht="26.25" x14ac:dyDescent="0.45">
      <c r="B64" s="9" t="s">
        <v>80</v>
      </c>
      <c r="C64" s="10" t="s">
        <v>81</v>
      </c>
    </row>
    <row r="65" spans="2:3" x14ac:dyDescent="0.45">
      <c r="B65" s="9" t="s">
        <v>82</v>
      </c>
      <c r="C65" s="10" t="s">
        <v>83</v>
      </c>
    </row>
    <row r="66" spans="2:3" ht="12" customHeight="1" x14ac:dyDescent="0.45"/>
    <row r="67" spans="2:3" ht="22.05" customHeight="1" x14ac:dyDescent="0.5">
      <c r="B67" s="7" t="s">
        <v>84</v>
      </c>
      <c r="C67" s="8"/>
    </row>
    <row r="68" spans="2:3" ht="26.25" x14ac:dyDescent="0.45">
      <c r="B68" s="21" t="s">
        <v>85</v>
      </c>
      <c r="C68" s="10" t="s">
        <v>86</v>
      </c>
    </row>
    <row r="69" spans="2:3" x14ac:dyDescent="0.45">
      <c r="B69" s="21" t="s">
        <v>87</v>
      </c>
      <c r="C69" s="10" t="s">
        <v>88</v>
      </c>
    </row>
    <row r="70" spans="2:3" x14ac:dyDescent="0.45">
      <c r="B70" s="21" t="s">
        <v>89</v>
      </c>
      <c r="C70" s="10" t="s">
        <v>90</v>
      </c>
    </row>
    <row r="71" spans="2:3" x14ac:dyDescent="0.45">
      <c r="B71" s="21" t="s">
        <v>91</v>
      </c>
      <c r="C71" s="10" t="s">
        <v>92</v>
      </c>
    </row>
    <row r="72" spans="2:3" x14ac:dyDescent="0.45">
      <c r="B72" s="21" t="s">
        <v>93</v>
      </c>
      <c r="C72" s="10" t="s">
        <v>94</v>
      </c>
    </row>
    <row r="73" spans="2:3" ht="26.25" x14ac:dyDescent="0.45">
      <c r="B73" s="21" t="s">
        <v>95</v>
      </c>
      <c r="C73" s="10" t="s">
        <v>96</v>
      </c>
    </row>
    <row r="74" spans="2:3" ht="26.25" x14ac:dyDescent="0.45">
      <c r="B74" s="21" t="s">
        <v>97</v>
      </c>
      <c r="C74" s="10" t="s">
        <v>98</v>
      </c>
    </row>
    <row r="75" spans="2:3" ht="12" customHeight="1" x14ac:dyDescent="0.45"/>
    <row r="76" spans="2:3" ht="22.05" customHeight="1" x14ac:dyDescent="0.5">
      <c r="B76" s="7" t="s">
        <v>99</v>
      </c>
      <c r="C76" s="8"/>
    </row>
    <row r="77" spans="2:3" x14ac:dyDescent="0.45">
      <c r="B77" s="9" t="s">
        <v>100</v>
      </c>
      <c r="C77" s="10" t="s">
        <v>101</v>
      </c>
    </row>
    <row r="78" spans="2:3" x14ac:dyDescent="0.45">
      <c r="B78" s="9" t="s">
        <v>102</v>
      </c>
      <c r="C78" s="10" t="s">
        <v>103</v>
      </c>
    </row>
    <row r="79" spans="2:3" x14ac:dyDescent="0.45">
      <c r="B79" s="9" t="s">
        <v>104</v>
      </c>
      <c r="C79" s="10" t="s">
        <v>105</v>
      </c>
    </row>
    <row r="80" spans="2:3" ht="16.05" customHeight="1" x14ac:dyDescent="0.45"/>
    <row r="81" spans="2:3" x14ac:dyDescent="0.45">
      <c r="B81" s="81" t="s">
        <v>106</v>
      </c>
      <c r="C81" s="80"/>
    </row>
  </sheetData>
  <mergeCells count="2">
    <mergeCell ref="B16:C16"/>
    <mergeCell ref="B81:C81"/>
  </mergeCells>
  <hyperlinks>
    <hyperlink ref="D4" location="'Inputs'!A1" display="Next:  Inputs  ▸" xr:uid="{00000000-0004-0000-0000-000000000000}"/>
    <hyperlink ref="B41" location="'Inputs'!A1" display="Inputs" xr:uid="{00000000-0004-0000-0000-000001000000}"/>
    <hyperlink ref="B42" location="'Decisions'!A1" display="Decisions" xr:uid="{00000000-0004-0000-0000-000002000000}"/>
    <hyperlink ref="B43" location="'Portfolio'!A1" display="Portfolio" xr:uid="{00000000-0004-0000-0000-000003000000}"/>
    <hyperlink ref="B44" location="'Results'!A1" display="Results" xr:uid="{00000000-0004-0000-0000-000004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E0A800"/>
    <pageSetUpPr fitToPage="1"/>
  </sheetPr>
  <dimension ref="A1:J3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107</v>
      </c>
      <c r="C3" s="1"/>
      <c r="D3" s="1"/>
      <c r="E3" s="1"/>
      <c r="F3" s="1"/>
      <c r="G3" s="1"/>
      <c r="H3" s="1"/>
      <c r="I3" s="1"/>
      <c r="J3" s="1"/>
    </row>
    <row r="4" spans="1:10" ht="20" customHeight="1" x14ac:dyDescent="0.45">
      <c r="A4" s="5"/>
      <c r="B4" s="23" t="s">
        <v>108</v>
      </c>
      <c r="C4" s="5"/>
      <c r="D4" s="5"/>
      <c r="E4" s="5"/>
      <c r="F4" s="5"/>
      <c r="G4" s="5"/>
      <c r="H4" s="5"/>
      <c r="I4" s="5"/>
      <c r="J4" s="6" t="s">
        <v>109</v>
      </c>
    </row>
    <row r="5" spans="1:10" ht="8" customHeight="1" x14ac:dyDescent="0.45"/>
    <row r="6" spans="1:10" ht="20" customHeight="1" x14ac:dyDescent="0.45">
      <c r="B6" s="82" t="s">
        <v>110</v>
      </c>
      <c r="C6" s="80"/>
      <c r="D6" s="80"/>
      <c r="E6" s="80"/>
      <c r="F6" s="80"/>
      <c r="G6" s="80"/>
      <c r="H6" s="80"/>
      <c r="I6" s="80"/>
      <c r="J6" s="80"/>
    </row>
    <row r="7" spans="1:10" ht="6" customHeight="1" x14ac:dyDescent="0.45"/>
    <row r="8" spans="1:10" ht="22.05" customHeight="1" x14ac:dyDescent="0.5">
      <c r="B8" s="7" t="s">
        <v>111</v>
      </c>
      <c r="C8" s="8"/>
      <c r="D8" s="8"/>
      <c r="E8" s="8"/>
      <c r="F8" s="8"/>
      <c r="G8" s="8"/>
      <c r="H8" s="8"/>
      <c r="I8" s="8"/>
      <c r="J8" s="8"/>
    </row>
    <row r="9" spans="1:10" ht="18" customHeight="1" x14ac:dyDescent="0.45">
      <c r="B9" s="13" t="s">
        <v>112</v>
      </c>
    </row>
    <row r="10" spans="1:10" ht="18" customHeight="1" x14ac:dyDescent="0.45">
      <c r="B10" s="24" t="s">
        <v>113</v>
      </c>
      <c r="C10" s="24" t="s">
        <v>114</v>
      </c>
      <c r="D10" s="25" t="s">
        <v>115</v>
      </c>
      <c r="E10" s="24" t="s">
        <v>116</v>
      </c>
      <c r="F10" s="5"/>
      <c r="G10" s="5"/>
      <c r="H10" s="5"/>
      <c r="I10" s="5"/>
      <c r="J10" s="24" t="s">
        <v>117</v>
      </c>
    </row>
    <row r="11" spans="1:10" x14ac:dyDescent="0.45">
      <c r="B11" s="26" t="s">
        <v>118</v>
      </c>
      <c r="C11" s="27" t="s">
        <v>119</v>
      </c>
      <c r="D11" s="28">
        <v>500</v>
      </c>
      <c r="E11" s="27" t="s">
        <v>120</v>
      </c>
      <c r="F11" s="29"/>
      <c r="G11" s="29"/>
      <c r="H11" s="29"/>
      <c r="I11" s="29"/>
      <c r="J11" s="30"/>
    </row>
    <row r="12" spans="1:10" x14ac:dyDescent="0.45">
      <c r="B12" s="26" t="s">
        <v>121</v>
      </c>
      <c r="C12" s="27" t="s">
        <v>119</v>
      </c>
      <c r="D12" s="28">
        <v>50</v>
      </c>
      <c r="E12" s="27" t="s">
        <v>120</v>
      </c>
      <c r="F12" s="29"/>
      <c r="G12" s="29"/>
      <c r="H12" s="29"/>
      <c r="I12" s="29"/>
      <c r="J12" s="30" t="s">
        <v>122</v>
      </c>
    </row>
    <row r="13" spans="1:10" ht="8" customHeight="1" x14ac:dyDescent="0.45"/>
    <row r="14" spans="1:10" ht="22.05" customHeight="1" x14ac:dyDescent="0.5">
      <c r="B14" s="7" t="s">
        <v>123</v>
      </c>
      <c r="C14" s="8"/>
      <c r="D14" s="8"/>
      <c r="E14" s="8"/>
      <c r="F14" s="8"/>
      <c r="G14" s="8"/>
      <c r="H14" s="8"/>
      <c r="I14" s="8"/>
      <c r="J14" s="8"/>
    </row>
    <row r="15" spans="1:10" ht="18" customHeight="1" x14ac:dyDescent="0.45">
      <c r="B15" s="13" t="s">
        <v>124</v>
      </c>
    </row>
    <row r="16" spans="1:10" ht="18" customHeight="1" x14ac:dyDescent="0.45">
      <c r="B16" s="24" t="s">
        <v>113</v>
      </c>
      <c r="C16" s="24" t="s">
        <v>114</v>
      </c>
      <c r="D16" s="25" t="s">
        <v>115</v>
      </c>
      <c r="E16" s="24" t="s">
        <v>116</v>
      </c>
      <c r="F16" s="5"/>
      <c r="G16" s="5"/>
      <c r="H16" s="5"/>
      <c r="I16" s="5"/>
      <c r="J16" s="24" t="s">
        <v>117</v>
      </c>
    </row>
    <row r="17" spans="2:10" x14ac:dyDescent="0.45">
      <c r="B17" s="26" t="s">
        <v>125</v>
      </c>
      <c r="C17" s="27"/>
      <c r="D17" s="31">
        <v>5</v>
      </c>
      <c r="E17" s="27" t="s">
        <v>120</v>
      </c>
      <c r="F17" s="29"/>
      <c r="G17" s="29"/>
      <c r="H17" s="29"/>
      <c r="I17" s="29"/>
      <c r="J17" s="30" t="s">
        <v>126</v>
      </c>
    </row>
    <row r="18" spans="2:10" x14ac:dyDescent="0.45">
      <c r="B18" s="26" t="s">
        <v>127</v>
      </c>
      <c r="C18" s="27"/>
      <c r="D18" s="31">
        <v>4</v>
      </c>
      <c r="E18" s="27" t="s">
        <v>120</v>
      </c>
      <c r="F18" s="29"/>
      <c r="G18" s="29"/>
      <c r="H18" s="29"/>
      <c r="I18" s="29"/>
      <c r="J18" s="30" t="s">
        <v>128</v>
      </c>
    </row>
    <row r="19" spans="2:10" x14ac:dyDescent="0.45">
      <c r="B19" s="26" t="s">
        <v>129</v>
      </c>
      <c r="C19" s="27" t="s">
        <v>119</v>
      </c>
      <c r="D19" s="28">
        <v>100</v>
      </c>
      <c r="E19" s="27" t="s">
        <v>120</v>
      </c>
      <c r="F19" s="29"/>
      <c r="G19" s="29"/>
      <c r="H19" s="29"/>
      <c r="I19" s="29"/>
      <c r="J19" s="30" t="s">
        <v>130</v>
      </c>
    </row>
    <row r="20" spans="2:10" ht="8" customHeight="1" x14ac:dyDescent="0.45"/>
    <row r="21" spans="2:10" ht="22.05" customHeight="1" x14ac:dyDescent="0.5">
      <c r="B21" s="7" t="s">
        <v>131</v>
      </c>
      <c r="C21" s="8"/>
      <c r="D21" s="8"/>
      <c r="E21" s="8"/>
      <c r="F21" s="8"/>
      <c r="G21" s="8"/>
      <c r="H21" s="8"/>
      <c r="I21" s="8"/>
      <c r="J21" s="8"/>
    </row>
    <row r="22" spans="2:10" ht="18" customHeight="1" x14ac:dyDescent="0.45">
      <c r="B22" s="13" t="s">
        <v>132</v>
      </c>
    </row>
    <row r="23" spans="2:10" ht="18" customHeight="1" x14ac:dyDescent="0.45">
      <c r="B23" s="32" t="s">
        <v>133</v>
      </c>
      <c r="C23" s="33"/>
      <c r="D23" s="33"/>
      <c r="E23" s="32" t="s">
        <v>116</v>
      </c>
      <c r="F23" s="34" t="s">
        <v>134</v>
      </c>
      <c r="G23" s="34" t="s">
        <v>135</v>
      </c>
      <c r="H23" s="5"/>
      <c r="I23" s="5"/>
      <c r="J23" s="35" t="s">
        <v>117</v>
      </c>
    </row>
    <row r="24" spans="2:10" x14ac:dyDescent="0.45">
      <c r="B24" s="36"/>
      <c r="C24" s="36"/>
      <c r="D24" s="36"/>
      <c r="E24" s="36"/>
      <c r="F24" s="36" t="s">
        <v>136</v>
      </c>
      <c r="G24" s="36" t="s">
        <v>137</v>
      </c>
    </row>
    <row r="25" spans="2:10" x14ac:dyDescent="0.45">
      <c r="B25" s="26" t="s">
        <v>138</v>
      </c>
      <c r="C25" s="29"/>
      <c r="D25" s="29"/>
      <c r="E25" s="27" t="s">
        <v>120</v>
      </c>
      <c r="F25" s="37">
        <v>7.0000000000000007E-2</v>
      </c>
      <c r="G25" s="37">
        <v>0.16</v>
      </c>
      <c r="H25" s="29"/>
      <c r="I25" s="29"/>
      <c r="J25" s="27" t="s">
        <v>139</v>
      </c>
    </row>
    <row r="26" spans="2:10" x14ac:dyDescent="0.45">
      <c r="B26" s="26" t="s">
        <v>140</v>
      </c>
      <c r="C26" s="29"/>
      <c r="D26" s="29"/>
      <c r="E26" s="27" t="s">
        <v>120</v>
      </c>
      <c r="F26" s="37">
        <v>3.5000000000000003E-2</v>
      </c>
      <c r="G26" s="37">
        <v>0.06</v>
      </c>
      <c r="H26" s="29"/>
      <c r="I26" s="29"/>
      <c r="J26" s="29"/>
    </row>
    <row r="27" spans="2:10" x14ac:dyDescent="0.45">
      <c r="B27" s="26" t="s">
        <v>141</v>
      </c>
      <c r="C27" s="29"/>
      <c r="D27" s="29"/>
      <c r="E27" s="27" t="s">
        <v>120</v>
      </c>
      <c r="F27" s="37">
        <v>4.4999999999999998E-2</v>
      </c>
      <c r="G27" s="37">
        <v>0.08</v>
      </c>
      <c r="H27" s="29"/>
      <c r="I27" s="29"/>
      <c r="J27" s="29"/>
    </row>
    <row r="28" spans="2:10" x14ac:dyDescent="0.45">
      <c r="B28" s="26" t="s">
        <v>142</v>
      </c>
      <c r="C28" s="29"/>
      <c r="D28" s="29"/>
      <c r="E28" s="27" t="s">
        <v>120</v>
      </c>
      <c r="F28" s="37">
        <v>0.06</v>
      </c>
      <c r="G28" s="37">
        <v>0.18</v>
      </c>
      <c r="H28" s="29"/>
      <c r="I28" s="29"/>
      <c r="J28" s="29"/>
    </row>
    <row r="29" spans="2:10" ht="8" customHeight="1" x14ac:dyDescent="0.45"/>
    <row r="30" spans="2:10" ht="22.05" customHeight="1" x14ac:dyDescent="0.5">
      <c r="B30" s="7" t="s">
        <v>143</v>
      </c>
      <c r="C30" s="8"/>
      <c r="D30" s="8"/>
      <c r="E30" s="8"/>
      <c r="F30" s="8"/>
      <c r="G30" s="8"/>
      <c r="H30" s="8"/>
      <c r="I30" s="8"/>
      <c r="J30" s="8"/>
    </row>
    <row r="31" spans="2:10" ht="18" customHeight="1" x14ac:dyDescent="0.45">
      <c r="B31" s="13" t="s">
        <v>144</v>
      </c>
    </row>
    <row r="32" spans="2:10" ht="18" customHeight="1" x14ac:dyDescent="0.45">
      <c r="B32" s="35"/>
      <c r="C32" s="5"/>
      <c r="D32" s="5"/>
      <c r="E32" s="5"/>
      <c r="F32" s="38" t="s">
        <v>145</v>
      </c>
      <c r="G32" s="38" t="s">
        <v>146</v>
      </c>
      <c r="H32" s="38" t="s">
        <v>147</v>
      </c>
      <c r="I32" s="38" t="s">
        <v>148</v>
      </c>
      <c r="J32" s="5"/>
    </row>
    <row r="33" spans="2:10" x14ac:dyDescent="0.45">
      <c r="B33" s="26" t="s">
        <v>138</v>
      </c>
      <c r="C33" s="29"/>
      <c r="D33" s="29"/>
      <c r="E33" s="29"/>
      <c r="F33" s="39">
        <v>1</v>
      </c>
      <c r="G33" s="40">
        <v>-0.2</v>
      </c>
      <c r="H33" s="40">
        <v>0.6</v>
      </c>
      <c r="I33" s="40">
        <v>0.7</v>
      </c>
      <c r="J33" s="27" t="s">
        <v>149</v>
      </c>
    </row>
    <row r="34" spans="2:10" x14ac:dyDescent="0.45">
      <c r="B34" s="26" t="s">
        <v>140</v>
      </c>
      <c r="C34" s="29"/>
      <c r="D34" s="29"/>
      <c r="E34" s="29"/>
      <c r="F34" s="39">
        <f>G33</f>
        <v>-0.2</v>
      </c>
      <c r="G34" s="39">
        <v>1</v>
      </c>
      <c r="H34" s="40">
        <v>0.4</v>
      </c>
      <c r="I34" s="40">
        <v>0</v>
      </c>
      <c r="J34" s="29"/>
    </row>
    <row r="35" spans="2:10" x14ac:dyDescent="0.45">
      <c r="B35" s="26" t="s">
        <v>141</v>
      </c>
      <c r="C35" s="29"/>
      <c r="D35" s="29"/>
      <c r="E35" s="29"/>
      <c r="F35" s="39">
        <f>H33</f>
        <v>0.6</v>
      </c>
      <c r="G35" s="39">
        <f>H34</f>
        <v>0.4</v>
      </c>
      <c r="H35" s="39">
        <v>1</v>
      </c>
      <c r="I35" s="40">
        <v>0.5</v>
      </c>
      <c r="J35" s="29"/>
    </row>
    <row r="36" spans="2:10" x14ac:dyDescent="0.45">
      <c r="B36" s="26" t="s">
        <v>142</v>
      </c>
      <c r="C36" s="29"/>
      <c r="D36" s="29"/>
      <c r="E36" s="29"/>
      <c r="F36" s="39">
        <f>I33</f>
        <v>0.7</v>
      </c>
      <c r="G36" s="39">
        <f>I34</f>
        <v>0</v>
      </c>
      <c r="H36" s="39">
        <f>I35</f>
        <v>0.5</v>
      </c>
      <c r="I36" s="39">
        <v>1</v>
      </c>
      <c r="J36" s="29"/>
    </row>
    <row r="37" spans="2:10" ht="14" customHeight="1" x14ac:dyDescent="0.45"/>
  </sheetData>
  <mergeCells count="1">
    <mergeCell ref="B6:J6"/>
  </mergeCells>
  <dataValidations count="5">
    <dataValidation type="decimal" operator="greaterThan" showErrorMessage="1" errorTitle="Positive value" error="Enter a value greater than zero." sqref="D19 D11:D12" xr:uid="{00000000-0002-0000-0100-000000000000}">
      <formula1>0</formula1>
    </dataValidation>
    <dataValidation type="whole" showErrorMessage="1" errorTitle="Whole number" error="Enter a whole number from 3 to 100." sqref="D17" xr:uid="{00000000-0002-0000-0100-000002000000}">
      <formula1>3</formula1>
      <formula2>100</formula2>
    </dataValidation>
    <dataValidation type="whole" showErrorMessage="1" errorTitle="Whole number" error="Enter a whole number from 2 to 100." sqref="D18" xr:uid="{00000000-0002-0000-0100-000003000000}">
      <formula1>2</formula1>
      <formula2>100</formula2>
    </dataValidation>
    <dataValidation type="decimal" showErrorMessage="1" errorTitle="Volatility" error="Enter a volatility above 0." sqref="G25:G28" xr:uid="{00000000-0002-0000-0100-000005000000}">
      <formula1>0.0001</formula1>
      <formula2>10</formula2>
    </dataValidation>
    <dataValidation type="custom" showErrorMessage="1" errorTitle="Correlation" error="Enter a correlation between -1 and 1." sqref="F33:I36" xr:uid="{00000000-0002-0000-0100-000006000000}">
      <formula1>AND(F33&gt;=-1,F33&lt;=1)</formula1>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E0A800"/>
    <pageSetUpPr fitToPage="1"/>
  </sheetPr>
  <dimension ref="A1:I33"/>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150</v>
      </c>
      <c r="C3" s="1"/>
      <c r="D3" s="1"/>
      <c r="E3" s="1"/>
      <c r="F3" s="1"/>
      <c r="G3" s="1"/>
      <c r="H3" s="1"/>
      <c r="I3" s="1"/>
    </row>
    <row r="4" spans="1:9" ht="20" customHeight="1" x14ac:dyDescent="0.45">
      <c r="A4" s="5"/>
      <c r="B4" s="23" t="s">
        <v>151</v>
      </c>
      <c r="C4" s="5"/>
      <c r="D4" s="5"/>
      <c r="E4" s="5"/>
      <c r="F4" s="5"/>
      <c r="G4" s="5"/>
      <c r="H4" s="5"/>
      <c r="I4" s="6" t="s">
        <v>152</v>
      </c>
    </row>
    <row r="5" spans="1:9" ht="8" customHeight="1" x14ac:dyDescent="0.45"/>
    <row r="6" spans="1:9" ht="30" customHeight="1" x14ac:dyDescent="0.45">
      <c r="B6" s="82" t="s">
        <v>153</v>
      </c>
      <c r="C6" s="80"/>
      <c r="D6" s="80"/>
      <c r="E6" s="80"/>
      <c r="F6" s="80"/>
      <c r="G6" s="80"/>
      <c r="H6" s="80"/>
      <c r="I6" s="80"/>
    </row>
    <row r="7" spans="1:9" ht="6" customHeight="1" x14ac:dyDescent="0.45"/>
    <row r="8" spans="1:9" ht="22.05" customHeight="1" x14ac:dyDescent="0.5">
      <c r="B8" s="7" t="s">
        <v>154</v>
      </c>
      <c r="C8" s="8"/>
      <c r="D8" s="8"/>
      <c r="E8" s="8"/>
      <c r="F8" s="8"/>
      <c r="G8" s="8"/>
      <c r="H8" s="8"/>
      <c r="I8" s="8"/>
    </row>
    <row r="9" spans="1:9" ht="18" customHeight="1" x14ac:dyDescent="0.45">
      <c r="B9" s="13" t="s">
        <v>155</v>
      </c>
    </row>
    <row r="10" spans="1:9" ht="18" customHeight="1" x14ac:dyDescent="0.45">
      <c r="B10" s="35" t="s">
        <v>56</v>
      </c>
      <c r="C10" s="35" t="s">
        <v>114</v>
      </c>
      <c r="D10" s="38" t="s">
        <v>156</v>
      </c>
      <c r="E10" s="38" t="s">
        <v>157</v>
      </c>
      <c r="F10" s="38" t="s">
        <v>158</v>
      </c>
      <c r="G10" s="38" t="s">
        <v>159</v>
      </c>
      <c r="H10" s="35" t="s">
        <v>160</v>
      </c>
      <c r="I10" s="35" t="s">
        <v>161</v>
      </c>
    </row>
    <row r="11" spans="1:9" x14ac:dyDescent="0.45">
      <c r="B11" s="26" t="s">
        <v>138</v>
      </c>
      <c r="C11" s="27" t="s">
        <v>162</v>
      </c>
      <c r="D11" s="41">
        <v>0.43393588329999999</v>
      </c>
      <c r="E11" s="37">
        <v>0.4</v>
      </c>
      <c r="F11" s="37">
        <v>0</v>
      </c>
      <c r="G11" s="37">
        <v>0.6</v>
      </c>
      <c r="H11" s="27" t="s">
        <v>163</v>
      </c>
      <c r="I11" s="27" t="s">
        <v>164</v>
      </c>
    </row>
    <row r="12" spans="1:9" x14ac:dyDescent="0.45">
      <c r="B12" s="26" t="s">
        <v>140</v>
      </c>
      <c r="C12" s="27" t="s">
        <v>162</v>
      </c>
      <c r="D12" s="41">
        <v>0.18975417</v>
      </c>
      <c r="E12" s="37">
        <v>0.3</v>
      </c>
      <c r="F12" s="37">
        <v>0</v>
      </c>
      <c r="G12" s="37">
        <v>0.6</v>
      </c>
      <c r="H12" s="27" t="s">
        <v>163</v>
      </c>
      <c r="I12" s="27" t="s">
        <v>165</v>
      </c>
    </row>
    <row r="13" spans="1:9" x14ac:dyDescent="0.45">
      <c r="B13" s="26" t="s">
        <v>141</v>
      </c>
      <c r="C13" s="27" t="s">
        <v>162</v>
      </c>
      <c r="D13" s="41">
        <v>0.27819885640000003</v>
      </c>
      <c r="E13" s="37">
        <v>0.2</v>
      </c>
      <c r="F13" s="37">
        <v>0</v>
      </c>
      <c r="G13" s="37">
        <v>0.6</v>
      </c>
      <c r="H13" s="27" t="s">
        <v>163</v>
      </c>
      <c r="I13" s="27" t="s">
        <v>166</v>
      </c>
    </row>
    <row r="14" spans="1:9" x14ac:dyDescent="0.45">
      <c r="B14" s="26" t="s">
        <v>142</v>
      </c>
      <c r="C14" s="27" t="s">
        <v>162</v>
      </c>
      <c r="D14" s="41">
        <v>9.8111090270000006E-2</v>
      </c>
      <c r="E14" s="37">
        <v>0.1</v>
      </c>
      <c r="F14" s="37">
        <v>0</v>
      </c>
      <c r="G14" s="37">
        <v>0.6</v>
      </c>
      <c r="H14" s="27" t="s">
        <v>163</v>
      </c>
      <c r="I14" s="27" t="s">
        <v>167</v>
      </c>
    </row>
    <row r="15" spans="1:9" ht="8" customHeight="1" x14ac:dyDescent="0.45"/>
    <row r="16" spans="1:9" ht="22.05" customHeight="1" x14ac:dyDescent="0.5">
      <c r="B16" s="7" t="s">
        <v>168</v>
      </c>
      <c r="C16" s="8"/>
      <c r="D16" s="8"/>
      <c r="E16" s="8"/>
      <c r="F16" s="8"/>
      <c r="G16" s="8"/>
      <c r="H16" s="8"/>
      <c r="I16" s="8"/>
    </row>
    <row r="17" spans="2:9" ht="18" customHeight="1" x14ac:dyDescent="0.45">
      <c r="B17" s="13" t="s">
        <v>169</v>
      </c>
    </row>
    <row r="18" spans="2:9" ht="18" customHeight="1" x14ac:dyDescent="0.45">
      <c r="B18" s="35"/>
      <c r="C18" s="35" t="s">
        <v>170</v>
      </c>
      <c r="D18" s="5"/>
      <c r="E18" s="5"/>
      <c r="F18" s="5"/>
      <c r="G18" s="38" t="s">
        <v>171</v>
      </c>
      <c r="H18" s="5"/>
      <c r="I18" s="35" t="s">
        <v>172</v>
      </c>
    </row>
    <row r="19" spans="2:9" x14ac:dyDescent="0.45">
      <c r="B19" s="42" t="s">
        <v>173</v>
      </c>
      <c r="C19" s="83" t="s">
        <v>174</v>
      </c>
      <c r="D19" s="84"/>
      <c r="E19" s="84"/>
      <c r="F19" s="84"/>
      <c r="G19" s="29"/>
      <c r="H19" s="29"/>
      <c r="I19" s="27" t="s">
        <v>175</v>
      </c>
    </row>
    <row r="20" spans="2:9" x14ac:dyDescent="0.45">
      <c r="B20" s="26" t="s">
        <v>176</v>
      </c>
      <c r="C20" s="83" t="s">
        <v>177</v>
      </c>
      <c r="D20" s="84"/>
      <c r="E20" s="84"/>
      <c r="F20" s="84"/>
      <c r="G20" s="43">
        <f>VaRLimit</f>
        <v>50</v>
      </c>
      <c r="H20" s="29"/>
      <c r="I20" s="27" t="s">
        <v>178</v>
      </c>
    </row>
    <row r="21" spans="2:9" x14ac:dyDescent="0.45">
      <c r="B21" s="26" t="s">
        <v>179</v>
      </c>
      <c r="C21" s="83" t="s">
        <v>180</v>
      </c>
      <c r="D21" s="84"/>
      <c r="E21" s="84"/>
      <c r="F21" s="84"/>
      <c r="G21" s="44" t="str">
        <f>IF(WeightsOK_Plan,"✔  yes","✗  no")</f>
        <v>✔  yes</v>
      </c>
      <c r="H21" s="29"/>
      <c r="I21" s="27" t="s">
        <v>181</v>
      </c>
    </row>
    <row r="22" spans="2:9" ht="8" customHeight="1" x14ac:dyDescent="0.45"/>
    <row r="23" spans="2:9" ht="22.05" customHeight="1" x14ac:dyDescent="0.5">
      <c r="B23" s="7" t="s">
        <v>182</v>
      </c>
      <c r="C23" s="8"/>
      <c r="D23" s="8"/>
      <c r="E23" s="8"/>
      <c r="F23" s="8"/>
      <c r="G23" s="8"/>
      <c r="H23" s="8"/>
      <c r="I23" s="8"/>
    </row>
    <row r="24" spans="2:9" ht="18" customHeight="1" x14ac:dyDescent="0.45">
      <c r="B24" s="13" t="s">
        <v>183</v>
      </c>
    </row>
    <row r="25" spans="2:9" x14ac:dyDescent="0.45">
      <c r="B25" s="26" t="s">
        <v>184</v>
      </c>
      <c r="C25" s="29"/>
      <c r="D25" s="78" t="s">
        <v>273</v>
      </c>
      <c r="E25" s="29"/>
      <c r="F25" s="29"/>
      <c r="G25" s="29"/>
      <c r="H25" s="29"/>
      <c r="I25" s="29"/>
    </row>
    <row r="26" spans="2:9" x14ac:dyDescent="0.45">
      <c r="B26" s="26" t="s">
        <v>185</v>
      </c>
      <c r="C26" s="29"/>
      <c r="D26" s="45" t="s">
        <v>272</v>
      </c>
      <c r="E26" s="29"/>
      <c r="F26" s="29"/>
      <c r="G26" s="29"/>
      <c r="H26" s="29"/>
      <c r="I26" s="29"/>
    </row>
    <row r="27" spans="2:9" x14ac:dyDescent="0.45">
      <c r="B27" s="26" t="s">
        <v>186</v>
      </c>
      <c r="C27" s="29"/>
      <c r="D27" s="46">
        <v>23</v>
      </c>
      <c r="E27" s="29"/>
      <c r="F27" s="29"/>
      <c r="G27" s="29"/>
      <c r="H27" s="29"/>
      <c r="I27" s="29"/>
    </row>
    <row r="28" spans="2:9" x14ac:dyDescent="0.45">
      <c r="B28" s="26" t="s">
        <v>187</v>
      </c>
      <c r="C28" s="29"/>
      <c r="D28" s="46">
        <v>10000</v>
      </c>
      <c r="E28" s="29"/>
      <c r="F28" s="29"/>
      <c r="G28" s="29"/>
      <c r="H28" s="29"/>
      <c r="I28" s="29"/>
    </row>
    <row r="29" spans="2:9" x14ac:dyDescent="0.45">
      <c r="B29" s="26" t="s">
        <v>188</v>
      </c>
      <c r="C29" s="29"/>
      <c r="D29" s="47">
        <v>984.9</v>
      </c>
      <c r="E29" s="29"/>
      <c r="F29" s="29"/>
      <c r="G29" s="29"/>
      <c r="H29" s="29"/>
      <c r="I29" s="29"/>
    </row>
    <row r="30" spans="2:9" x14ac:dyDescent="0.45">
      <c r="B30" s="26" t="s">
        <v>189</v>
      </c>
      <c r="C30" s="29"/>
      <c r="D30" s="45" t="s">
        <v>270</v>
      </c>
      <c r="E30" s="29"/>
      <c r="F30" s="29"/>
      <c r="G30" s="29"/>
      <c r="H30" s="29"/>
      <c r="I30" s="29"/>
    </row>
    <row r="31" spans="2:9" x14ac:dyDescent="0.45">
      <c r="B31" s="26" t="s">
        <v>190</v>
      </c>
      <c r="C31" s="29"/>
      <c r="D31" s="45" t="s">
        <v>271</v>
      </c>
      <c r="E31" s="29"/>
      <c r="F31" s="29"/>
      <c r="G31" s="29"/>
      <c r="H31" s="29"/>
      <c r="I31" s="29"/>
    </row>
    <row r="32" spans="2:9" x14ac:dyDescent="0.45">
      <c r="B32" s="26" t="s">
        <v>191</v>
      </c>
      <c r="C32" s="29"/>
      <c r="D32" s="48">
        <v>5.4564723519999997E-2</v>
      </c>
      <c r="E32" s="29"/>
      <c r="F32" s="29"/>
      <c r="G32" s="29"/>
      <c r="H32" s="29"/>
      <c r="I32" s="29"/>
    </row>
    <row r="33" ht="14" customHeight="1" x14ac:dyDescent="0.45"/>
  </sheetData>
  <mergeCells count="4">
    <mergeCell ref="C19:F19"/>
    <mergeCell ref="B6:I6"/>
    <mergeCell ref="C21:F21"/>
    <mergeCell ref="C20:F20"/>
  </mergeCells>
  <dataValidations count="1">
    <dataValidation type="decimal" showErrorMessage="1" errorTitle="Decision" error="Enter a value from 0 to 0.6." sqref="D11:E14" xr:uid="{00000000-0002-0000-0200-000000000000}">
      <formula1>0</formula1>
      <formula2>0.6</formula2>
    </dataValidation>
  </dataValidations>
  <hyperlinks>
    <hyperlink ref="B4" location="'Inputs'!A1" display="◂  Inputs" xr:uid="{00000000-0004-0000-0200-000000000000}"/>
    <hyperlink ref="I4" location="'Portfolio'!A1" display="Next:  Portfolio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AA0BA"/>
    <pageSetUpPr fitToPage="1"/>
  </sheetPr>
  <dimension ref="A1:J34"/>
  <sheetViews>
    <sheetView showGridLines="0" workbookViewId="0"/>
  </sheetViews>
  <sheetFormatPr defaultRowHeight="14.25" x14ac:dyDescent="0.45"/>
  <cols>
    <col min="1" max="1" width="2" customWidth="1"/>
    <col min="2" max="2" width="30" customWidth="1"/>
    <col min="3" max="6" width="11" customWidth="1"/>
    <col min="7" max="8" width="12" customWidth="1"/>
    <col min="9" max="9" width="2" customWidth="1"/>
    <col min="10" max="10" width="58"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192</v>
      </c>
      <c r="C3" s="1"/>
      <c r="D3" s="1"/>
      <c r="E3" s="1"/>
      <c r="F3" s="1"/>
      <c r="G3" s="1"/>
      <c r="H3" s="1"/>
      <c r="I3" s="1"/>
      <c r="J3" s="1"/>
    </row>
    <row r="4" spans="1:10" ht="20" customHeight="1" x14ac:dyDescent="0.45">
      <c r="A4" s="5"/>
      <c r="B4" s="23" t="s">
        <v>193</v>
      </c>
      <c r="C4" s="5"/>
      <c r="D4" s="5"/>
      <c r="E4" s="5"/>
      <c r="F4" s="5"/>
      <c r="G4" s="5"/>
      <c r="H4" s="5"/>
      <c r="I4" s="5"/>
      <c r="J4" s="6" t="s">
        <v>194</v>
      </c>
    </row>
    <row r="5" spans="1:10" ht="8" customHeight="1" x14ac:dyDescent="0.45"/>
    <row r="6" spans="1:10" ht="22.05" customHeight="1" x14ac:dyDescent="0.5">
      <c r="B6" s="7" t="s">
        <v>195</v>
      </c>
      <c r="C6" s="8"/>
      <c r="D6" s="8"/>
      <c r="E6" s="8"/>
      <c r="F6" s="8"/>
      <c r="G6" s="8"/>
      <c r="H6" s="8"/>
      <c r="I6" s="8"/>
      <c r="J6" s="8"/>
    </row>
    <row r="7" spans="1:10" ht="18" customHeight="1" x14ac:dyDescent="0.45">
      <c r="B7" s="13" t="s">
        <v>196</v>
      </c>
    </row>
    <row r="8" spans="1:10" ht="18" customHeight="1" x14ac:dyDescent="0.45">
      <c r="B8" s="35"/>
      <c r="C8" s="38" t="s">
        <v>197</v>
      </c>
      <c r="D8" s="38" t="s">
        <v>198</v>
      </c>
      <c r="E8" s="38" t="s">
        <v>199</v>
      </c>
      <c r="F8" s="38" t="s">
        <v>200</v>
      </c>
      <c r="G8" s="5"/>
      <c r="H8" s="5"/>
      <c r="I8" s="5"/>
      <c r="J8" s="5"/>
    </row>
    <row r="9" spans="1:10" x14ac:dyDescent="0.45">
      <c r="B9" s="26" t="s">
        <v>201</v>
      </c>
      <c r="C9" s="49">
        <f t="array" ref="C9:F9">_xll.VoseEigenValues(CorrMatrix)</f>
        <v>0.15459233646019063</v>
      </c>
      <c r="D9" s="49">
        <v>0.39892203674273952</v>
      </c>
      <c r="E9" s="49">
        <v>1.2344530680839412</v>
      </c>
      <c r="F9" s="49">
        <v>2.212032558713128</v>
      </c>
      <c r="G9" s="29"/>
      <c r="H9" s="29"/>
      <c r="I9" s="29"/>
      <c r="J9" s="27" t="s">
        <v>202</v>
      </c>
    </row>
    <row r="10" spans="1:10" ht="8" customHeight="1" x14ac:dyDescent="0.45"/>
    <row r="11" spans="1:10" ht="22.05" customHeight="1" x14ac:dyDescent="0.5">
      <c r="B11" s="7" t="s">
        <v>203</v>
      </c>
      <c r="C11" s="8"/>
      <c r="D11" s="8"/>
      <c r="E11" s="8"/>
      <c r="F11" s="8"/>
      <c r="G11" s="8"/>
      <c r="H11" s="8"/>
      <c r="I11" s="8"/>
      <c r="J11" s="8"/>
    </row>
    <row r="12" spans="1:10" ht="18" customHeight="1" x14ac:dyDescent="0.45">
      <c r="B12" s="13" t="s">
        <v>204</v>
      </c>
    </row>
    <row r="13" spans="1:10" ht="18" customHeight="1" x14ac:dyDescent="0.45">
      <c r="B13" s="32" t="s">
        <v>133</v>
      </c>
      <c r="C13" s="34" t="s">
        <v>134</v>
      </c>
      <c r="D13" s="34" t="s">
        <v>135</v>
      </c>
      <c r="E13" s="34" t="s">
        <v>205</v>
      </c>
      <c r="F13" s="34" t="s">
        <v>206</v>
      </c>
      <c r="G13" s="34" t="s">
        <v>207</v>
      </c>
      <c r="H13" s="34" t="s">
        <v>207</v>
      </c>
      <c r="I13" s="5"/>
      <c r="J13" s="5"/>
    </row>
    <row r="14" spans="1:10" x14ac:dyDescent="0.45">
      <c r="B14" s="36"/>
      <c r="C14" s="36" t="s">
        <v>208</v>
      </c>
      <c r="D14" s="36"/>
      <c r="E14" s="36" t="s">
        <v>209</v>
      </c>
      <c r="F14" s="36" t="s">
        <v>210</v>
      </c>
      <c r="G14" s="36" t="s">
        <v>211</v>
      </c>
      <c r="H14" s="36" t="s">
        <v>212</v>
      </c>
    </row>
    <row r="15" spans="1:10" x14ac:dyDescent="0.45">
      <c r="B15" s="26" t="s">
        <v>138</v>
      </c>
      <c r="C15" s="50">
        <f>Mu_Eq</f>
        <v>7.0000000000000007E-2</v>
      </c>
      <c r="D15" s="50">
        <f>Sd_Eq</f>
        <v>0.16</v>
      </c>
      <c r="E15" s="51">
        <f t="array" aca="1" ref="E15:E18" ca="1">_xll.VoseCopulaMultiT(NuCop,CorrMatrix)</f>
        <v>0.84444233856505324</v>
      </c>
      <c r="F15" s="52" cm="1">
        <f t="array" aca="1" ref="F15" ca="1">_xll.VoseStudent3(C15,D15,NuMarg,E15)</f>
        <v>0.2096073061025179</v>
      </c>
      <c r="G15" s="50">
        <f>W_Eq_Start</f>
        <v>0.4</v>
      </c>
      <c r="H15" s="50">
        <f>W_Eq</f>
        <v>0.43393588329999999</v>
      </c>
      <c r="I15" s="29"/>
      <c r="J15" s="27" t="s">
        <v>213</v>
      </c>
    </row>
    <row r="16" spans="1:10" x14ac:dyDescent="0.45">
      <c r="B16" s="26" t="s">
        <v>140</v>
      </c>
      <c r="C16" s="50">
        <f>Mu_Gov</f>
        <v>3.5000000000000003E-2</v>
      </c>
      <c r="D16" s="50">
        <f>Sd_Gov</f>
        <v>0.06</v>
      </c>
      <c r="E16" s="51">
        <f ca="1"/>
        <v>0.27681428082941739</v>
      </c>
      <c r="F16" s="52" cm="1">
        <f t="array" aca="1" ref="F16" ca="1">_xll.VoseStudent3(C16,D16,NuMarg,E16)</f>
        <v>5.5096814879137222E-3</v>
      </c>
      <c r="G16" s="50">
        <f>W_Gov_Start</f>
        <v>0.3</v>
      </c>
      <c r="H16" s="50">
        <f>W_Gov</f>
        <v>0.18975417</v>
      </c>
      <c r="I16" s="29"/>
      <c r="J16" s="27" t="s">
        <v>214</v>
      </c>
    </row>
    <row r="17" spans="2:10" x14ac:dyDescent="0.45">
      <c r="B17" s="26" t="s">
        <v>141</v>
      </c>
      <c r="C17" s="50">
        <f>Mu_Cred</f>
        <v>4.4999999999999998E-2</v>
      </c>
      <c r="D17" s="50">
        <f>Sd_Cred</f>
        <v>0.08</v>
      </c>
      <c r="E17" s="51">
        <f ca="1"/>
        <v>0.31281988212532785</v>
      </c>
      <c r="F17" s="52" cm="1">
        <f t="array" aca="1" ref="F17" ca="1">_xll.VoseStudent3(C17,D17,NuMarg,E17)</f>
        <v>1.281329529811167E-2</v>
      </c>
      <c r="G17" s="50">
        <f>W_Cred_Start</f>
        <v>0.2</v>
      </c>
      <c r="H17" s="50">
        <f>W_Cred</f>
        <v>0.27819885640000003</v>
      </c>
      <c r="I17" s="29"/>
      <c r="J17" s="27" t="s">
        <v>215</v>
      </c>
    </row>
    <row r="18" spans="2:10" x14ac:dyDescent="0.45">
      <c r="B18" s="26" t="s">
        <v>142</v>
      </c>
      <c r="C18" s="50">
        <f>Mu_RE</f>
        <v>0.06</v>
      </c>
      <c r="D18" s="50">
        <f>Sd_RE</f>
        <v>0.18</v>
      </c>
      <c r="E18" s="51">
        <f ca="1"/>
        <v>0.94069720638474752</v>
      </c>
      <c r="F18" s="52" cm="1">
        <f t="array" aca="1" ref="F18" ca="1">_xll.VoseStudent3(C18,D18,NuMarg,E18)</f>
        <v>0.32237138574082846</v>
      </c>
      <c r="G18" s="50">
        <f>W_RE_Start</f>
        <v>0.1</v>
      </c>
      <c r="H18" s="50">
        <f>W_RE</f>
        <v>9.8111090270000006E-2</v>
      </c>
      <c r="I18" s="29"/>
      <c r="J18" s="29"/>
    </row>
    <row r="19" spans="2:10" x14ac:dyDescent="0.45">
      <c r="B19" s="42" t="s">
        <v>216</v>
      </c>
      <c r="C19" s="29"/>
      <c r="D19" s="29"/>
      <c r="E19" s="29"/>
      <c r="F19" s="29"/>
      <c r="G19" s="53">
        <f>SUM(G15:G18)</f>
        <v>0.99999999999999989</v>
      </c>
      <c r="H19" s="53">
        <f>SUM(H15:H18)</f>
        <v>0.99999999997</v>
      </c>
      <c r="I19" s="29"/>
      <c r="J19" s="29"/>
    </row>
    <row r="20" spans="2:10" ht="8" customHeight="1" x14ac:dyDescent="0.45"/>
    <row r="21" spans="2:10" ht="22.05" customHeight="1" x14ac:dyDescent="0.5">
      <c r="B21" s="7" t="s">
        <v>217</v>
      </c>
      <c r="C21" s="8"/>
      <c r="D21" s="8"/>
      <c r="E21" s="8"/>
      <c r="F21" s="8"/>
      <c r="G21" s="8"/>
      <c r="H21" s="8"/>
      <c r="I21" s="8"/>
      <c r="J21" s="8"/>
    </row>
    <row r="22" spans="2:10" ht="18" customHeight="1" x14ac:dyDescent="0.45">
      <c r="B22" s="13" t="s">
        <v>218</v>
      </c>
    </row>
    <row r="23" spans="2:10" ht="18" customHeight="1" x14ac:dyDescent="0.45">
      <c r="B23" s="32" t="s">
        <v>219</v>
      </c>
      <c r="C23" s="34" t="s">
        <v>206</v>
      </c>
      <c r="D23" s="34" t="s">
        <v>220</v>
      </c>
      <c r="E23" s="34" t="s">
        <v>221</v>
      </c>
      <c r="F23" s="5"/>
      <c r="G23" s="5"/>
      <c r="H23" s="5"/>
      <c r="I23" s="5"/>
      <c r="J23" s="5"/>
    </row>
    <row r="24" spans="2:10" x14ac:dyDescent="0.45">
      <c r="B24" s="36"/>
      <c r="C24" s="36" t="s">
        <v>210</v>
      </c>
      <c r="D24" s="36" t="s">
        <v>119</v>
      </c>
      <c r="E24" s="36" t="s">
        <v>222</v>
      </c>
    </row>
    <row r="25" spans="2:10" x14ac:dyDescent="0.45">
      <c r="B25" s="26" t="s">
        <v>157</v>
      </c>
      <c r="C25" s="54" cm="1">
        <f t="array" aca="1" ref="C25" ca="1">_xll.VoseOutput("Return, starting plan","a year")+SUMPRODUCT(G15:G18,$F$15:$F$18)</f>
        <v>0.12029562452108646</v>
      </c>
      <c r="D25" s="55" cm="1">
        <f t="array" aca="1" ref="D25" ca="1">_xll.VoseOutput("Loss, starting plan","US$m")-C25*Invested</f>
        <v>-60.147812260543226</v>
      </c>
      <c r="E25" s="56" t="b">
        <f>ABS(SUM(G15:G18)-1)&lt;0.0001</f>
        <v>1</v>
      </c>
      <c r="F25" s="29"/>
      <c r="G25" s="29"/>
      <c r="H25" s="29"/>
      <c r="I25" s="29"/>
      <c r="J25" s="27" t="s">
        <v>223</v>
      </c>
    </row>
    <row r="26" spans="2:10" x14ac:dyDescent="0.45">
      <c r="B26" s="26" t="s">
        <v>156</v>
      </c>
      <c r="C26" s="54" cm="1">
        <f t="array" aca="1" ref="C26" ca="1">_xll.VoseOutput("Return, plan in use","a year")+SUMPRODUCT(H15:H18,$F$15:$F$18)</f>
        <v>0.12719446878296659</v>
      </c>
      <c r="D26" s="55" cm="1">
        <f t="array" aca="1" ref="D26" ca="1">_xll.VoseOutput("Loss, plan in use","US$m")-C26*Invested</f>
        <v>-63.59723439148329</v>
      </c>
      <c r="E26" s="56" t="b">
        <f>ABS(SUM(H15:H18)-1)&lt;0.0001</f>
        <v>1</v>
      </c>
      <c r="F26" s="29"/>
      <c r="G26" s="29"/>
      <c r="H26" s="29"/>
      <c r="I26" s="29"/>
      <c r="J26" s="27" t="s">
        <v>224</v>
      </c>
    </row>
    <row r="27" spans="2:10" x14ac:dyDescent="0.45">
      <c r="J27" s="57" t="s">
        <v>225</v>
      </c>
    </row>
    <row r="28" spans="2:10" ht="8" customHeight="1" x14ac:dyDescent="0.45"/>
    <row r="29" spans="2:10" ht="22.05" customHeight="1" x14ac:dyDescent="0.5">
      <c r="B29" s="7" t="s">
        <v>226</v>
      </c>
      <c r="C29" s="8"/>
      <c r="D29" s="8"/>
      <c r="E29" s="8"/>
      <c r="F29" s="8"/>
      <c r="G29" s="8"/>
      <c r="H29" s="8"/>
      <c r="I29" s="8"/>
      <c r="J29" s="8"/>
    </row>
    <row r="30" spans="2:10" ht="18" customHeight="1" x14ac:dyDescent="0.45">
      <c r="B30" s="13" t="s">
        <v>227</v>
      </c>
    </row>
    <row r="31" spans="2:10" x14ac:dyDescent="0.45">
      <c r="B31" s="26" t="s">
        <v>228</v>
      </c>
      <c r="C31" s="29"/>
      <c r="D31" s="29"/>
      <c r="E31" s="29"/>
      <c r="F31" s="29"/>
      <c r="G31" s="58" t="str">
        <f>IF(AND(WeightsOK_Start,WeightsOK_Plan),"OK","CHECK")</f>
        <v>OK</v>
      </c>
      <c r="H31" s="29"/>
      <c r="I31" s="29"/>
      <c r="J31" s="29"/>
    </row>
    <row r="32" spans="2:10" x14ac:dyDescent="0.45">
      <c r="B32" s="26" t="s">
        <v>229</v>
      </c>
      <c r="C32" s="29"/>
      <c r="D32" s="29"/>
      <c r="E32" s="29"/>
      <c r="F32" s="29"/>
      <c r="G32" s="58" t="str">
        <f>IF(AND(W_Eq&gt;=W_Eq_Lo-0.000000001,W_Eq&lt;=W_Eq_Hi+0.000000001,W_Gov&gt;=W_Gov_Lo-0.000000001,W_Gov&lt;=W_Gov_Hi+0.000000001,W_Cred&gt;=W_Cred_Lo-0.000000001,W_Cred&lt;=W_Cred_Hi+0.000000001,W_RE&gt;=W_RE_Lo-0.000000001,W_RE&lt;=W_RE_Hi+0.000000001),"OK","CHECK")</f>
        <v>OK</v>
      </c>
      <c r="H32" s="29"/>
      <c r="I32" s="29"/>
      <c r="J32" s="29"/>
    </row>
    <row r="33" spans="2:10" x14ac:dyDescent="0.45">
      <c r="B33" s="26" t="s">
        <v>230</v>
      </c>
      <c r="C33" s="29"/>
      <c r="D33" s="29"/>
      <c r="E33" s="29"/>
      <c r="F33" s="29"/>
      <c r="G33" s="58" t="str">
        <f>IF(MIN(CorrEigen)&gt;0,"OK","CHECK")</f>
        <v>OK</v>
      </c>
      <c r="H33" s="29"/>
      <c r="I33" s="29"/>
      <c r="J33" s="29"/>
    </row>
    <row r="34" spans="2:10" ht="14" customHeight="1" x14ac:dyDescent="0.45"/>
  </sheetData>
  <conditionalFormatting sqref="G31:G33">
    <cfRule type="expression" dxfId="8" priority="1">
      <formula>G31="CHECK"</formula>
    </cfRule>
  </conditionalFormatting>
  <hyperlinks>
    <hyperlink ref="B4" location="'Decisions'!A1" display="◂  Decisions" xr:uid="{00000000-0004-0000-0300-000000000000}"/>
    <hyperlink ref="J4" location="'Results'!A1" display="Next:  Results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15803D"/>
    <outlinePr summaryBelow="0"/>
    <pageSetUpPr fitToPage="1"/>
  </sheetPr>
  <dimension ref="A1:R10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231</v>
      </c>
      <c r="C3" s="1"/>
      <c r="D3" s="1"/>
      <c r="E3" s="1"/>
      <c r="F3" s="1"/>
      <c r="G3" s="1"/>
      <c r="H3" s="1"/>
      <c r="I3" s="1"/>
      <c r="J3" s="1"/>
      <c r="K3" s="1"/>
      <c r="L3" s="1"/>
      <c r="M3" s="1"/>
      <c r="N3" s="1"/>
      <c r="O3" s="1"/>
      <c r="P3" s="1"/>
      <c r="Q3" s="1"/>
      <c r="R3" s="1"/>
    </row>
    <row r="4" spans="1:18" ht="20" customHeight="1" x14ac:dyDescent="0.45">
      <c r="A4" s="5"/>
      <c r="B4" s="23" t="s">
        <v>232</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IF(ISNUMBER(_xll.VoseSimMean(Out_Return_Plan)),"✔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0"/>
      <c r="D6" s="60"/>
      <c r="E6" s="60"/>
      <c r="F6" s="60"/>
      <c r="G6" s="60"/>
    </row>
    <row r="7" spans="1:18" x14ac:dyDescent="0.45">
      <c r="B7" s="5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233</v>
      </c>
      <c r="C9" s="8"/>
      <c r="D9" s="8"/>
      <c r="E9" s="8"/>
      <c r="F9" s="8"/>
      <c r="G9" s="8"/>
      <c r="I9" s="61" t="s">
        <v>234</v>
      </c>
      <c r="J9" s="8"/>
      <c r="K9" s="8"/>
      <c r="L9" s="8"/>
      <c r="M9" s="8"/>
      <c r="N9" s="8"/>
      <c r="O9" s="8"/>
      <c r="P9" s="8"/>
      <c r="Q9" s="8"/>
      <c r="R9" s="8"/>
    </row>
    <row r="10" spans="1:18" ht="18" customHeight="1" x14ac:dyDescent="0.45">
      <c r="B10" s="13" t="s">
        <v>235</v>
      </c>
    </row>
    <row r="11" spans="1:18" ht="18" customHeight="1" x14ac:dyDescent="0.45">
      <c r="B11" s="24" t="s">
        <v>56</v>
      </c>
      <c r="C11" s="24" t="s">
        <v>114</v>
      </c>
      <c r="D11" s="25" t="s">
        <v>157</v>
      </c>
      <c r="E11" s="25" t="s">
        <v>156</v>
      </c>
      <c r="F11" s="25" t="s">
        <v>236</v>
      </c>
      <c r="G11" s="5"/>
    </row>
    <row r="12" spans="1:18" x14ac:dyDescent="0.45">
      <c r="B12" s="26" t="s">
        <v>138</v>
      </c>
      <c r="C12" s="27" t="s">
        <v>162</v>
      </c>
      <c r="D12" s="50">
        <f>W_Eq_Start</f>
        <v>0.4</v>
      </c>
      <c r="E12" s="62">
        <f>W_Eq</f>
        <v>0.43393588329999999</v>
      </c>
      <c r="F12" s="63">
        <f>E12-D12</f>
        <v>3.3935883299999969E-2</v>
      </c>
      <c r="G12" s="29"/>
    </row>
    <row r="13" spans="1:18" x14ac:dyDescent="0.45">
      <c r="B13" s="26" t="s">
        <v>140</v>
      </c>
      <c r="C13" s="27" t="s">
        <v>162</v>
      </c>
      <c r="D13" s="50">
        <f>W_Gov_Start</f>
        <v>0.3</v>
      </c>
      <c r="E13" s="62">
        <f>W_Gov</f>
        <v>0.18975417</v>
      </c>
      <c r="F13" s="63">
        <f>E13-D13</f>
        <v>-0.11024582999999999</v>
      </c>
      <c r="G13" s="29"/>
    </row>
    <row r="14" spans="1:18" x14ac:dyDescent="0.45">
      <c r="B14" s="26" t="s">
        <v>141</v>
      </c>
      <c r="C14" s="27" t="s">
        <v>162</v>
      </c>
      <c r="D14" s="50">
        <f>W_Cred_Start</f>
        <v>0.2</v>
      </c>
      <c r="E14" s="62">
        <f>W_Cred</f>
        <v>0.27819885640000003</v>
      </c>
      <c r="F14" s="63">
        <f>E14-D14</f>
        <v>7.8198856400000016E-2</v>
      </c>
      <c r="G14" s="29"/>
    </row>
    <row r="15" spans="1:18" x14ac:dyDescent="0.45">
      <c r="B15" s="26" t="s">
        <v>142</v>
      </c>
      <c r="C15" s="27" t="s">
        <v>162</v>
      </c>
      <c r="D15" s="50">
        <f>W_RE_Start</f>
        <v>0.1</v>
      </c>
      <c r="E15" s="62">
        <f>W_RE</f>
        <v>9.8111090270000006E-2</v>
      </c>
      <c r="F15" s="63">
        <f>E15-D15</f>
        <v>-1.8889097299999991E-3</v>
      </c>
      <c r="G15" s="29"/>
    </row>
    <row r="16" spans="1:18" ht="6" customHeight="1" x14ac:dyDescent="0.45"/>
    <row r="17" spans="2:18" ht="28.05" customHeight="1" x14ac:dyDescent="0.45">
      <c r="B17" s="24" t="s">
        <v>237</v>
      </c>
      <c r="C17" s="24" t="s">
        <v>114</v>
      </c>
      <c r="D17" s="25" t="s">
        <v>157</v>
      </c>
      <c r="E17" s="25" t="s">
        <v>156</v>
      </c>
      <c r="F17" s="25" t="s">
        <v>236</v>
      </c>
      <c r="G17" s="25"/>
    </row>
    <row r="18" spans="2:18" x14ac:dyDescent="0.45">
      <c r="B18" s="26" t="s">
        <v>238</v>
      </c>
      <c r="C18" s="27" t="s">
        <v>137</v>
      </c>
      <c r="D18" s="64" cm="1">
        <f t="array" aca="1" ref="D18" ca="1">_xll.VoseSimMean(Out_Return_Start)</f>
        <v>5.3749865544252859E-2</v>
      </c>
      <c r="E18" s="64" cm="1">
        <f t="array" aca="1" ref="E18" ca="1">_xll.VoseSimMean(Out_Return_Plan)</f>
        <v>5.5677642795605664E-2</v>
      </c>
      <c r="F18" s="63">
        <f t="shared" ref="F18:F23" ca="1" si="0">IFERROR(E18-D18,"–")</f>
        <v>1.9277772513528052E-3</v>
      </c>
      <c r="G18" s="65" t="str">
        <f ca="1">IF(ISNUMBER(F18),IF(F18&gt;0,"✔ better",IF(F18=0,"same","")),"")</f>
        <v>✔ better</v>
      </c>
    </row>
    <row r="19" spans="2:18" x14ac:dyDescent="0.45">
      <c r="B19" s="26" t="s">
        <v>239</v>
      </c>
      <c r="C19" s="27" t="s">
        <v>240</v>
      </c>
      <c r="D19" s="66" cm="1">
        <f t="array" aca="1" ref="D19" ca="1">IFERROR(_xll.VoseSimMean(Out_Return_Start)*Invested,"–")</f>
        <v>26.874932772126428</v>
      </c>
      <c r="E19" s="66" cm="1">
        <f t="array" aca="1" ref="E19" ca="1">IFERROR(_xll.VoseSimMean(Out_Return_Plan)*Invested,"–")</f>
        <v>27.838821397802832</v>
      </c>
      <c r="F19" s="67">
        <f t="shared" ca="1" si="0"/>
        <v>0.96388862567640388</v>
      </c>
      <c r="G19" s="65" t="str">
        <f ca="1">IF(ISNUMBER(F19),IF(F19&gt;0,"✔ better",IF(F19=0,"same","")),"")</f>
        <v>✔ better</v>
      </c>
    </row>
    <row r="20" spans="2:18" x14ac:dyDescent="0.45">
      <c r="B20" s="26" t="s">
        <v>241</v>
      </c>
      <c r="C20" s="27" t="s">
        <v>119</v>
      </c>
      <c r="D20" s="66" cm="1">
        <f t="array" aca="1" ref="D20" ca="1">_xll.VoseSimPercentile(Out_Loss_Start,0.95)</f>
        <v>42.714787288786191</v>
      </c>
      <c r="E20" s="66" cm="1">
        <f t="array" aca="1" ref="E20" ca="1">_xll.VoseSimPercentile(Out_Loss_Plan,0.95)</f>
        <v>49.639563390880156</v>
      </c>
      <c r="F20" s="67">
        <f t="shared" ca="1" si="0"/>
        <v>6.9247761020939649</v>
      </c>
      <c r="G20" s="65" t="str">
        <f ca="1">IF(ISNUMBER(F20),IF(F20&lt;0,"✔ better",IF(F20=0,"same","")),"")</f>
        <v/>
      </c>
    </row>
    <row r="21" spans="2:18" x14ac:dyDescent="0.45">
      <c r="B21" s="26" t="s">
        <v>242</v>
      </c>
      <c r="C21" s="27" t="s">
        <v>119</v>
      </c>
      <c r="D21" s="66" cm="1">
        <f t="array" aca="1" ref="D21" ca="1">_xll.VoseSimPercentile(Out_Loss_Start,0.99)</f>
        <v>88.85543404044536</v>
      </c>
      <c r="E21" s="66" cm="1">
        <f t="array" aca="1" ref="E21" ca="1">_xll.VoseSimPercentile(Out_Loss_Plan,0.99)</f>
        <v>97.965609411610032</v>
      </c>
      <c r="F21" s="67">
        <f t="shared" ca="1" si="0"/>
        <v>9.1101753711646722</v>
      </c>
      <c r="G21" s="65" t="str">
        <f ca="1">IF(ISNUMBER(F21),IF(F21&lt;0,"✔ better",IF(F21=0,"same","")),"")</f>
        <v/>
      </c>
    </row>
    <row r="22" spans="2:18" x14ac:dyDescent="0.45">
      <c r="B22" s="26" t="s">
        <v>243</v>
      </c>
      <c r="C22" s="27" t="s">
        <v>119</v>
      </c>
      <c r="D22" s="66" cm="1">
        <f t="array" aca="1" ref="D22" ca="1">IFERROR(_xll.VoseSimCVARp(Out_Loss_Start,0.025),"–")</f>
        <v>96.658761320055149</v>
      </c>
      <c r="E22" s="66" cm="1">
        <f t="array" aca="1" ref="E22" ca="1">IFERROR(_xll.VoseSimCVARp(Out_Loss_Plan,0.025),"–")</f>
        <v>107.85144412861077</v>
      </c>
      <c r="F22" s="67">
        <f t="shared" ca="1" si="0"/>
        <v>11.192682808555617</v>
      </c>
      <c r="G22" s="65" t="str">
        <f ca="1">IF(ISNUMBER(F22),IF(F22&lt;0,"✔ better",IF(F22=0,"same","")),"")</f>
        <v/>
      </c>
    </row>
    <row r="23" spans="2:18" x14ac:dyDescent="0.45">
      <c r="B23" s="26" t="s">
        <v>244</v>
      </c>
      <c r="C23" s="27" t="s">
        <v>245</v>
      </c>
      <c r="D23" s="68" cm="1">
        <f t="array" aca="1" ref="D23" ca="1">IFERROR(1-_xll.VoseSimProbability(Out_Loss_Start,BigLoss),"–")</f>
        <v>7.3992600739926084E-3</v>
      </c>
      <c r="E23" s="68" cm="1">
        <f t="array" aca="1" ref="E23" ca="1">IFERROR(1-_xll.VoseSimProbability(Out_Loss_Plan,BigLoss),"–")</f>
        <v>9.6990300969902465E-3</v>
      </c>
      <c r="F23" s="63">
        <f t="shared" ca="1" si="0"/>
        <v>2.2997700229976381E-3</v>
      </c>
      <c r="G23" s="65" t="str">
        <f ca="1">IF(ISNUMBER(F23),IF(F23&lt;0,"✔ better",IF(F23=0,"same","")),"")</f>
        <v/>
      </c>
    </row>
    <row r="24" spans="2:18" x14ac:dyDescent="0.45">
      <c r="B24" s="26" t="s">
        <v>246</v>
      </c>
      <c r="C24" s="27" t="s">
        <v>119</v>
      </c>
      <c r="D24" s="69">
        <f>VaRLimit</f>
        <v>50</v>
      </c>
      <c r="E24" s="69">
        <f>VaRLimit</f>
        <v>50</v>
      </c>
      <c r="F24" s="29"/>
      <c r="G24" s="29"/>
    </row>
    <row r="25" spans="2:18" x14ac:dyDescent="0.45">
      <c r="B25" s="70" t="s">
        <v>247</v>
      </c>
    </row>
    <row r="26" spans="2:18" ht="8" customHeight="1" x14ac:dyDescent="0.45"/>
    <row r="27" spans="2:18" ht="22.05" customHeight="1" x14ac:dyDescent="0.5">
      <c r="B27" s="7" t="s">
        <v>248</v>
      </c>
      <c r="C27" s="8"/>
      <c r="D27" s="8"/>
      <c r="E27" s="8"/>
      <c r="F27" s="8"/>
      <c r="G27" s="8"/>
      <c r="I27" s="61" t="s">
        <v>249</v>
      </c>
      <c r="J27" s="8"/>
      <c r="K27" s="8"/>
      <c r="L27" s="8"/>
      <c r="M27" s="8"/>
      <c r="N27" s="8"/>
      <c r="O27" s="8"/>
      <c r="P27" s="8"/>
      <c r="Q27" s="8"/>
      <c r="R27" s="8"/>
    </row>
    <row r="28" spans="2:18" ht="18" customHeight="1" x14ac:dyDescent="0.45">
      <c r="B28" s="13" t="s">
        <v>250</v>
      </c>
    </row>
    <row r="29" spans="2:18" ht="18" customHeight="1" x14ac:dyDescent="0.45">
      <c r="B29" s="71" t="s">
        <v>251</v>
      </c>
      <c r="C29" s="72" t="s">
        <v>238</v>
      </c>
      <c r="D29" s="72" t="s">
        <v>145</v>
      </c>
      <c r="E29" s="72" t="s">
        <v>146</v>
      </c>
      <c r="F29" s="72" t="s">
        <v>147</v>
      </c>
      <c r="G29" s="72" t="s">
        <v>148</v>
      </c>
    </row>
    <row r="30" spans="2:18" x14ac:dyDescent="0.45">
      <c r="B30" s="36"/>
      <c r="C30" s="36" t="s">
        <v>137</v>
      </c>
      <c r="D30" s="36" t="s">
        <v>252</v>
      </c>
      <c r="E30" s="36" t="s">
        <v>252</v>
      </c>
      <c r="F30" s="36" t="s">
        <v>252</v>
      </c>
      <c r="G30" s="36" t="s">
        <v>252</v>
      </c>
    </row>
    <row r="31" spans="2:18" x14ac:dyDescent="0.45">
      <c r="B31" s="73">
        <v>40</v>
      </c>
      <c r="C31" s="74">
        <v>5.220296529E-2</v>
      </c>
      <c r="D31" s="50">
        <v>0.40960000000000002</v>
      </c>
      <c r="E31" s="50">
        <v>0.3</v>
      </c>
      <c r="F31" s="50">
        <v>0.2384</v>
      </c>
      <c r="G31" s="50">
        <v>5.1999999999999998E-2</v>
      </c>
    </row>
    <row r="32" spans="2:18" x14ac:dyDescent="0.45">
      <c r="B32" s="73">
        <v>45</v>
      </c>
      <c r="C32" s="74">
        <v>5.4069242109999999E-2</v>
      </c>
      <c r="D32" s="50">
        <v>0.47232073559999999</v>
      </c>
      <c r="E32" s="50">
        <v>0.32305991969999998</v>
      </c>
      <c r="F32" s="50">
        <v>0.11958502930000001</v>
      </c>
      <c r="G32" s="50">
        <v>8.5034315420000006E-2</v>
      </c>
    </row>
    <row r="33" spans="2:7" x14ac:dyDescent="0.45">
      <c r="B33" s="73">
        <v>50</v>
      </c>
      <c r="C33" s="74">
        <v>5.460683928E-2</v>
      </c>
      <c r="D33" s="50">
        <v>0.4339207356</v>
      </c>
      <c r="E33" s="50">
        <v>0.28465991969999999</v>
      </c>
      <c r="F33" s="50">
        <v>0.11958502930000001</v>
      </c>
      <c r="G33" s="50">
        <v>0.16183431540000001</v>
      </c>
    </row>
    <row r="34" spans="2:7" x14ac:dyDescent="0.45">
      <c r="B34" s="73">
        <v>55</v>
      </c>
      <c r="C34" s="74">
        <v>5.5252847110000003E-2</v>
      </c>
      <c r="D34" s="50">
        <v>0.38065261179999998</v>
      </c>
      <c r="E34" s="50">
        <v>0.28670154749999999</v>
      </c>
      <c r="F34" s="50">
        <v>3.5482442490000002E-2</v>
      </c>
      <c r="G34" s="50">
        <v>0.29716339819999998</v>
      </c>
    </row>
    <row r="35" spans="2:7" x14ac:dyDescent="0.45">
      <c r="B35" s="73">
        <v>60</v>
      </c>
      <c r="C35" s="74">
        <v>5.6822741060000001E-2</v>
      </c>
      <c r="D35" s="50">
        <v>0.4030070992</v>
      </c>
      <c r="E35" s="50">
        <v>0.22826564999999999</v>
      </c>
      <c r="F35" s="50">
        <v>4.1913097849999997E-2</v>
      </c>
      <c r="G35" s="50">
        <v>0.326814153</v>
      </c>
    </row>
    <row r="36" spans="2:7" x14ac:dyDescent="0.45">
      <c r="B36" s="70" t="s">
        <v>253</v>
      </c>
    </row>
    <row r="43" spans="2:7" ht="22.05" customHeight="1" x14ac:dyDescent="0.5">
      <c r="B43" s="7" t="s">
        <v>254</v>
      </c>
      <c r="C43" s="8"/>
      <c r="D43" s="8"/>
      <c r="E43" s="8"/>
      <c r="F43" s="8"/>
      <c r="G43" s="8"/>
    </row>
    <row r="44" spans="2:7" ht="32" customHeight="1" x14ac:dyDescent="0.45">
      <c r="B44" s="79" t="s">
        <v>255</v>
      </c>
      <c r="C44" s="80"/>
      <c r="D44" s="80"/>
      <c r="E44" s="80"/>
      <c r="F44" s="80"/>
      <c r="G44" s="80"/>
    </row>
    <row r="45" spans="2:7" ht="45" customHeight="1" x14ac:dyDescent="0.45">
      <c r="B45" s="79" t="s">
        <v>256</v>
      </c>
      <c r="C45" s="80"/>
      <c r="D45" s="80"/>
      <c r="E45" s="80"/>
      <c r="F45" s="80"/>
      <c r="G45" s="80"/>
    </row>
    <row r="46" spans="2:7" ht="45" customHeight="1" x14ac:dyDescent="0.45">
      <c r="B46" s="79" t="s">
        <v>257</v>
      </c>
      <c r="C46" s="80"/>
      <c r="D46" s="80"/>
      <c r="E46" s="80"/>
      <c r="F46" s="80"/>
      <c r="G46" s="80"/>
    </row>
    <row r="47" spans="2:7" ht="32" customHeight="1" x14ac:dyDescent="0.45">
      <c r="B47" s="79" t="s">
        <v>258</v>
      </c>
      <c r="C47" s="80"/>
      <c r="D47" s="80"/>
      <c r="E47" s="80"/>
      <c r="F47" s="80"/>
      <c r="G47" s="80"/>
    </row>
    <row r="48" spans="2:7" ht="32" customHeight="1" x14ac:dyDescent="0.45">
      <c r="B48" s="79" t="s">
        <v>259</v>
      </c>
      <c r="C48" s="80"/>
      <c r="D48" s="80"/>
      <c r="E48" s="80"/>
      <c r="F48" s="80"/>
      <c r="G48" s="80"/>
    </row>
    <row r="49" spans="2:7" ht="14" customHeight="1" x14ac:dyDescent="0.45"/>
    <row r="50" spans="2:7" ht="14" customHeight="1" x14ac:dyDescent="0.45"/>
    <row r="51" spans="2:7" ht="22.05" customHeight="1" x14ac:dyDescent="0.5">
      <c r="B51" s="7" t="s">
        <v>260</v>
      </c>
      <c r="C51" s="8"/>
      <c r="D51" s="8"/>
      <c r="E51" s="8"/>
      <c r="F51" s="8"/>
      <c r="G51" s="8"/>
    </row>
    <row r="52" spans="2:7" ht="18" customHeight="1" x14ac:dyDescent="0.45">
      <c r="B52" s="13" t="s">
        <v>261</v>
      </c>
    </row>
    <row r="53" spans="2:7" ht="28.05" hidden="1" customHeight="1" outlineLevel="1" x14ac:dyDescent="0.45">
      <c r="B53" s="25" t="s">
        <v>262</v>
      </c>
      <c r="C53" s="25" t="s">
        <v>263</v>
      </c>
      <c r="D53" s="25" t="s">
        <v>264</v>
      </c>
      <c r="E53" s="25" t="s">
        <v>265</v>
      </c>
      <c r="F53" s="25" t="s">
        <v>266</v>
      </c>
      <c r="G53" s="5"/>
    </row>
    <row r="54" spans="2:7" hidden="1" outlineLevel="1" x14ac:dyDescent="0.45">
      <c r="B54" s="75">
        <v>0.01</v>
      </c>
      <c r="C54" s="75">
        <f t="shared" ref="C54:C85" si="1">1-B54</f>
        <v>0.99</v>
      </c>
      <c r="D54" s="76" cm="1">
        <f t="array" aca="1" ref="D54" ca="1">IF(ISNUMBER(_xll.VoseSimPercentile(Out_Loss_Start,$B54)),_xll.VoseSimPercentile(Out_Loss_Start,$B54),NA())</f>
        <v>-145.37652315697505</v>
      </c>
      <c r="E54" s="76" cm="1">
        <f t="array" aca="1" ref="E54" ca="1">IF(ISNUMBER(_xll.VoseSimPercentile(Out_Loss_Plan,$B54)),_xll.VoseSimPercentile(Out_Loss_Plan,$B54),NA())</f>
        <v>-157.64935617871234</v>
      </c>
      <c r="F54" s="76">
        <f t="shared" ref="F54:F85" si="2">VaRLimit</f>
        <v>50</v>
      </c>
    </row>
    <row r="55" spans="2:7" hidden="1" outlineLevel="1" x14ac:dyDescent="0.45">
      <c r="B55" s="75">
        <v>0.03</v>
      </c>
      <c r="C55" s="75">
        <f t="shared" si="1"/>
        <v>0.97</v>
      </c>
      <c r="D55" s="76" cm="1">
        <f t="array" aca="1" ref="D55" ca="1">IF(ISNUMBER(_xll.VoseSimPercentile(Out_Loss_Start,$B55)),_xll.VoseSimPercentile(Out_Loss_Start,$B55),NA())</f>
        <v>-111.77071364004846</v>
      </c>
      <c r="E55" s="76" cm="1">
        <f t="array" aca="1" ref="E55" ca="1">IF(ISNUMBER(_xll.VoseSimPercentile(Out_Loss_Plan,$B55)),_xll.VoseSimPercentile(Out_Loss_Plan,$B55),NA())</f>
        <v>-121.66403660641188</v>
      </c>
      <c r="F55" s="76">
        <f t="shared" si="2"/>
        <v>50</v>
      </c>
    </row>
    <row r="56" spans="2:7" hidden="1" outlineLevel="1" x14ac:dyDescent="0.45">
      <c r="B56" s="75">
        <v>0.05</v>
      </c>
      <c r="C56" s="75">
        <f t="shared" si="1"/>
        <v>0.95</v>
      </c>
      <c r="D56" s="76" cm="1">
        <f t="array" aca="1" ref="D56" ca="1">IF(ISNUMBER(_xll.VoseSimPercentile(Out_Loss_Start,$B56)),_xll.VoseSimPercentile(Out_Loss_Start,$B56),NA())</f>
        <v>-95.866725966770915</v>
      </c>
      <c r="E56" s="76" cm="1">
        <f t="array" aca="1" ref="E56" ca="1">IF(ISNUMBER(_xll.VoseSimPercentile(Out_Loss_Plan,$B56)),_xll.VoseSimPercentile(Out_Loss_Plan,$B56),NA())</f>
        <v>-103.81717635650537</v>
      </c>
      <c r="F56" s="76">
        <f t="shared" si="2"/>
        <v>50</v>
      </c>
    </row>
    <row r="57" spans="2:7" hidden="1" outlineLevel="1" x14ac:dyDescent="0.45">
      <c r="B57" s="75">
        <v>7.0000000000000007E-2</v>
      </c>
      <c r="C57" s="75">
        <f t="shared" si="1"/>
        <v>0.92999999999999994</v>
      </c>
      <c r="D57" s="76" cm="1">
        <f t="array" aca="1" ref="D57" ca="1">IF(ISNUMBER(_xll.VoseSimPercentile(Out_Loss_Start,$B57)),_xll.VoseSimPercentile(Out_Loss_Start,$B57),NA())</f>
        <v>-86.093300580470611</v>
      </c>
      <c r="E57" s="76" cm="1">
        <f t="array" aca="1" ref="E57" ca="1">IF(ISNUMBER(_xll.VoseSimPercentile(Out_Loss_Plan,$B57)),_xll.VoseSimPercentile(Out_Loss_Plan,$B57),NA())</f>
        <v>-93.568169220345709</v>
      </c>
      <c r="F57" s="76">
        <f t="shared" si="2"/>
        <v>50</v>
      </c>
    </row>
    <row r="58" spans="2:7" hidden="1" outlineLevel="1" x14ac:dyDescent="0.45">
      <c r="B58" s="75">
        <v>0.09</v>
      </c>
      <c r="C58" s="75">
        <f t="shared" si="1"/>
        <v>0.91</v>
      </c>
      <c r="D58" s="76" cm="1">
        <f t="array" aca="1" ref="D58" ca="1">IF(ISNUMBER(_xll.VoseSimPercentile(Out_Loss_Start,$B58)),_xll.VoseSimPercentile(Out_Loss_Start,$B58),NA())</f>
        <v>-79.895955927015009</v>
      </c>
      <c r="E58" s="76" cm="1">
        <f t="array" aca="1" ref="E58" ca="1">IF(ISNUMBER(_xll.VoseSimPercentile(Out_Loss_Plan,$B58)),_xll.VoseSimPercentile(Out_Loss_Plan,$B58),NA())</f>
        <v>-86.021095105960313</v>
      </c>
      <c r="F58" s="76">
        <f t="shared" si="2"/>
        <v>50</v>
      </c>
    </row>
    <row r="59" spans="2:7" hidden="1" outlineLevel="1" x14ac:dyDescent="0.45">
      <c r="B59" s="75">
        <v>0.11</v>
      </c>
      <c r="C59" s="75">
        <f t="shared" si="1"/>
        <v>0.89</v>
      </c>
      <c r="D59" s="76" cm="1">
        <f t="array" aca="1" ref="D59" ca="1">IF(ISNUMBER(_xll.VoseSimPercentile(Out_Loss_Start,$B59)),_xll.VoseSimPercentile(Out_Loss_Start,$B59),NA())</f>
        <v>-74.768491816927167</v>
      </c>
      <c r="E59" s="76" cm="1">
        <f t="array" aca="1" ref="E59" ca="1">IF(ISNUMBER(_xll.VoseSimPercentile(Out_Loss_Plan,$B59)),_xll.VoseSimPercentile(Out_Loss_Plan,$B59),NA())</f>
        <v>-80.603432097196844</v>
      </c>
      <c r="F59" s="76">
        <f t="shared" si="2"/>
        <v>50</v>
      </c>
    </row>
    <row r="60" spans="2:7" hidden="1" outlineLevel="1" x14ac:dyDescent="0.45">
      <c r="B60" s="75">
        <v>0.13</v>
      </c>
      <c r="C60" s="75">
        <f t="shared" si="1"/>
        <v>0.87</v>
      </c>
      <c r="D60" s="76" cm="1">
        <f t="array" aca="1" ref="D60" ca="1">IF(ISNUMBER(_xll.VoseSimPercentile(Out_Loss_Start,$B60)),_xll.VoseSimPercentile(Out_Loss_Start,$B60),NA())</f>
        <v>-70.635676726480682</v>
      </c>
      <c r="E60" s="76" cm="1">
        <f t="array" aca="1" ref="E60" ca="1">IF(ISNUMBER(_xll.VoseSimPercentile(Out_Loss_Plan,$B60)),_xll.VoseSimPercentile(Out_Loss_Plan,$B60),NA())</f>
        <v>-76.09191541564995</v>
      </c>
      <c r="F60" s="76">
        <f t="shared" si="2"/>
        <v>50</v>
      </c>
    </row>
    <row r="61" spans="2:7" hidden="1" outlineLevel="1" x14ac:dyDescent="0.45">
      <c r="B61" s="75">
        <v>0.15</v>
      </c>
      <c r="C61" s="75">
        <f t="shared" si="1"/>
        <v>0.85</v>
      </c>
      <c r="D61" s="76" cm="1">
        <f t="array" aca="1" ref="D61" ca="1">IF(ISNUMBER(_xll.VoseSimPercentile(Out_Loss_Start,$B61)),_xll.VoseSimPercentile(Out_Loss_Start,$B61),NA())</f>
        <v>-66.562504997552821</v>
      </c>
      <c r="E61" s="76" cm="1">
        <f t="array" aca="1" ref="E61" ca="1">IF(ISNUMBER(_xll.VoseSimPercentile(Out_Loss_Plan,$B61)),_xll.VoseSimPercentile(Out_Loss_Plan,$B61),NA())</f>
        <v>-71.676773822326183</v>
      </c>
      <c r="F61" s="76">
        <f t="shared" si="2"/>
        <v>50</v>
      </c>
    </row>
    <row r="62" spans="2:7" hidden="1" outlineLevel="1" x14ac:dyDescent="0.45">
      <c r="B62" s="75">
        <v>0.17</v>
      </c>
      <c r="C62" s="75">
        <f t="shared" si="1"/>
        <v>0.83</v>
      </c>
      <c r="D62" s="76" cm="1">
        <f t="array" aca="1" ref="D62" ca="1">IF(ISNUMBER(_xll.VoseSimPercentile(Out_Loss_Start,$B62)),_xll.VoseSimPercentile(Out_Loss_Start,$B62),NA())</f>
        <v>-63.195391714339912</v>
      </c>
      <c r="E62" s="76" cm="1">
        <f t="array" aca="1" ref="E62" ca="1">IF(ISNUMBER(_xll.VoseSimPercentile(Out_Loss_Plan,$B62)),_xll.VoseSimPercentile(Out_Loss_Plan,$B62),NA())</f>
        <v>-67.493417825822092</v>
      </c>
      <c r="F62" s="76">
        <f t="shared" si="2"/>
        <v>50</v>
      </c>
    </row>
    <row r="63" spans="2:7" hidden="1" outlineLevel="1" x14ac:dyDescent="0.45">
      <c r="B63" s="75">
        <v>0.19</v>
      </c>
      <c r="C63" s="75">
        <f t="shared" si="1"/>
        <v>0.81</v>
      </c>
      <c r="D63" s="76" cm="1">
        <f t="array" aca="1" ref="D63" ca="1">IF(ISNUMBER(_xll.VoseSimPercentile(Out_Loss_Start,$B63)),_xll.VoseSimPercentile(Out_Loss_Start,$B63),NA())</f>
        <v>-59.611110221495785</v>
      </c>
      <c r="E63" s="76" cm="1">
        <f t="array" aca="1" ref="E63" ca="1">IF(ISNUMBER(_xll.VoseSimPercentile(Out_Loss_Plan,$B63)),_xll.VoseSimPercentile(Out_Loss_Plan,$B63),NA())</f>
        <v>-64.097294372130037</v>
      </c>
      <c r="F63" s="76">
        <f t="shared" si="2"/>
        <v>50</v>
      </c>
    </row>
    <row r="64" spans="2:7" hidden="1" outlineLevel="1" x14ac:dyDescent="0.45">
      <c r="B64" s="75">
        <v>0.21</v>
      </c>
      <c r="C64" s="75">
        <f t="shared" si="1"/>
        <v>0.79</v>
      </c>
      <c r="D64" s="76" cm="1">
        <f t="array" aca="1" ref="D64" ca="1">IF(ISNUMBER(_xll.VoseSimPercentile(Out_Loss_Start,$B64)),_xll.VoseSimPercentile(Out_Loss_Start,$B64),NA())</f>
        <v>-56.776951385765479</v>
      </c>
      <c r="E64" s="76" cm="1">
        <f t="array" aca="1" ref="E64" ca="1">IF(ISNUMBER(_xll.VoseSimPercentile(Out_Loss_Plan,$B64)),_xll.VoseSimPercentile(Out_Loss_Plan,$B64),NA())</f>
        <v>-60.762701326384175</v>
      </c>
      <c r="F64" s="76">
        <f t="shared" si="2"/>
        <v>50</v>
      </c>
    </row>
    <row r="65" spans="2:6" hidden="1" outlineLevel="1" x14ac:dyDescent="0.45">
      <c r="B65" s="75">
        <v>0.23</v>
      </c>
      <c r="C65" s="75">
        <f t="shared" si="1"/>
        <v>0.77</v>
      </c>
      <c r="D65" s="76" cm="1">
        <f t="array" aca="1" ref="D65" ca="1">IF(ISNUMBER(_xll.VoseSimPercentile(Out_Loss_Start,$B65)),_xll.VoseSimPercentile(Out_Loss_Start,$B65),NA())</f>
        <v>-54.117304310608667</v>
      </c>
      <c r="E65" s="76" cm="1">
        <f t="array" aca="1" ref="E65" ca="1">IF(ISNUMBER(_xll.VoseSimPercentile(Out_Loss_Plan,$B65)),_xll.VoseSimPercentile(Out_Loss_Plan,$B65),NA())</f>
        <v>-57.539196834093204</v>
      </c>
      <c r="F65" s="76">
        <f t="shared" si="2"/>
        <v>50</v>
      </c>
    </row>
    <row r="66" spans="2:6" hidden="1" outlineLevel="1" x14ac:dyDescent="0.45">
      <c r="B66" s="75">
        <v>0.25</v>
      </c>
      <c r="C66" s="75">
        <f t="shared" si="1"/>
        <v>0.75</v>
      </c>
      <c r="D66" s="76" cm="1">
        <f t="array" aca="1" ref="D66" ca="1">IF(ISNUMBER(_xll.VoseSimPercentile(Out_Loss_Start,$B66)),_xll.VoseSimPercentile(Out_Loss_Start,$B66),NA())</f>
        <v>-51.717755705661467</v>
      </c>
      <c r="E66" s="76" cm="1">
        <f t="array" aca="1" ref="E66" ca="1">IF(ISNUMBER(_xll.VoseSimPercentile(Out_Loss_Plan,$B66)),_xll.VoseSimPercentile(Out_Loss_Plan,$B66),NA())</f>
        <v>-55.042994778216524</v>
      </c>
      <c r="F66" s="76">
        <f t="shared" si="2"/>
        <v>50</v>
      </c>
    </row>
    <row r="67" spans="2:6" hidden="1" outlineLevel="1" x14ac:dyDescent="0.45">
      <c r="B67" s="75">
        <v>0.27</v>
      </c>
      <c r="C67" s="75">
        <f t="shared" si="1"/>
        <v>0.73</v>
      </c>
      <c r="D67" s="76" cm="1">
        <f t="array" aca="1" ref="D67" ca="1">IF(ISNUMBER(_xll.VoseSimPercentile(Out_Loss_Start,$B67)),_xll.VoseSimPercentile(Out_Loss_Start,$B67),NA())</f>
        <v>-49.352147080482503</v>
      </c>
      <c r="E67" s="76" cm="1">
        <f t="array" aca="1" ref="E67" ca="1">IF(ISNUMBER(_xll.VoseSimPercentile(Out_Loss_Plan,$B67)),_xll.VoseSimPercentile(Out_Loss_Plan,$B67),NA())</f>
        <v>-52.434412325421135</v>
      </c>
      <c r="F67" s="76">
        <f t="shared" si="2"/>
        <v>50</v>
      </c>
    </row>
    <row r="68" spans="2:6" hidden="1" outlineLevel="1" x14ac:dyDescent="0.45">
      <c r="B68" s="75">
        <v>0.28999999999999998</v>
      </c>
      <c r="C68" s="75">
        <f t="shared" si="1"/>
        <v>0.71</v>
      </c>
      <c r="D68" s="76" cm="1">
        <f t="array" aca="1" ref="D68" ca="1">IF(ISNUMBER(_xll.VoseSimPercentile(Out_Loss_Start,$B68)),_xll.VoseSimPercentile(Out_Loss_Start,$B68),NA())</f>
        <v>-46.991662392611111</v>
      </c>
      <c r="E68" s="76" cm="1">
        <f t="array" aca="1" ref="E68" ca="1">IF(ISNUMBER(_xll.VoseSimPercentile(Out_Loss_Plan,$B68)),_xll.VoseSimPercentile(Out_Loss_Plan,$B68),NA())</f>
        <v>-49.959747366263848</v>
      </c>
      <c r="F68" s="76">
        <f t="shared" si="2"/>
        <v>50</v>
      </c>
    </row>
    <row r="69" spans="2:6" hidden="1" outlineLevel="1" x14ac:dyDescent="0.45">
      <c r="B69" s="75">
        <v>0.31</v>
      </c>
      <c r="C69" s="75">
        <f t="shared" si="1"/>
        <v>0.69</v>
      </c>
      <c r="D69" s="76" cm="1">
        <f t="array" aca="1" ref="D69" ca="1">IF(ISNUMBER(_xll.VoseSimPercentile(Out_Loss_Start,$B69)),_xll.VoseSimPercentile(Out_Loss_Start,$B69),NA())</f>
        <v>-44.864274294306988</v>
      </c>
      <c r="E69" s="76" cm="1">
        <f t="array" aca="1" ref="E69" ca="1">IF(ISNUMBER(_xll.VoseSimPercentile(Out_Loss_Plan,$B69)),_xll.VoseSimPercentile(Out_Loss_Plan,$B69),NA())</f>
        <v>-47.71645131968576</v>
      </c>
      <c r="F69" s="76">
        <f t="shared" si="2"/>
        <v>50</v>
      </c>
    </row>
    <row r="70" spans="2:6" hidden="1" outlineLevel="1" x14ac:dyDescent="0.45">
      <c r="B70" s="75">
        <v>0.33</v>
      </c>
      <c r="C70" s="75">
        <f t="shared" si="1"/>
        <v>0.66999999999999993</v>
      </c>
      <c r="D70" s="76" cm="1">
        <f t="array" aca="1" ref="D70" ca="1">IF(ISNUMBER(_xll.VoseSimPercentile(Out_Loss_Start,$B70)),_xll.VoseSimPercentile(Out_Loss_Start,$B70),NA())</f>
        <v>-42.685297361343473</v>
      </c>
      <c r="E70" s="76" cm="1">
        <f t="array" aca="1" ref="E70" ca="1">IF(ISNUMBER(_xll.VoseSimPercentile(Out_Loss_Plan,$B70)),_xll.VoseSimPercentile(Out_Loss_Plan,$B70),NA())</f>
        <v>-45.183238371490198</v>
      </c>
      <c r="F70" s="76">
        <f t="shared" si="2"/>
        <v>50</v>
      </c>
    </row>
    <row r="71" spans="2:6" hidden="1" outlineLevel="1" x14ac:dyDescent="0.45">
      <c r="B71" s="75">
        <v>0.35</v>
      </c>
      <c r="C71" s="75">
        <f t="shared" si="1"/>
        <v>0.65</v>
      </c>
      <c r="D71" s="76" cm="1">
        <f t="array" aca="1" ref="D71" ca="1">IF(ISNUMBER(_xll.VoseSimPercentile(Out_Loss_Start,$B71)),_xll.VoseSimPercentile(Out_Loss_Start,$B71),NA())</f>
        <v>-40.782994940918641</v>
      </c>
      <c r="E71" s="76" cm="1">
        <f t="array" aca="1" ref="E71" ca="1">IF(ISNUMBER(_xll.VoseSimPercentile(Out_Loss_Plan,$B71)),_xll.VoseSimPercentile(Out_Loss_Plan,$B71),NA())</f>
        <v>-43.159909134164977</v>
      </c>
      <c r="F71" s="76">
        <f t="shared" si="2"/>
        <v>50</v>
      </c>
    </row>
    <row r="72" spans="2:6" hidden="1" outlineLevel="1" x14ac:dyDescent="0.45">
      <c r="B72" s="75">
        <v>0.37</v>
      </c>
      <c r="C72" s="75">
        <f t="shared" si="1"/>
        <v>0.63</v>
      </c>
      <c r="D72" s="76" cm="1">
        <f t="array" aca="1" ref="D72" ca="1">IF(ISNUMBER(_xll.VoseSimPercentile(Out_Loss_Start,$B72)),_xll.VoseSimPercentile(Out_Loss_Start,$B72),NA())</f>
        <v>-38.807584908298296</v>
      </c>
      <c r="E72" s="76" cm="1">
        <f t="array" aca="1" ref="E72" ca="1">IF(ISNUMBER(_xll.VoseSimPercentile(Out_Loss_Plan,$B72)),_xll.VoseSimPercentile(Out_Loss_Plan,$B72),NA())</f>
        <v>-41.110511242823669</v>
      </c>
      <c r="F72" s="76">
        <f t="shared" si="2"/>
        <v>50</v>
      </c>
    </row>
    <row r="73" spans="2:6" hidden="1" outlineLevel="1" x14ac:dyDescent="0.45">
      <c r="B73" s="75">
        <v>0.39</v>
      </c>
      <c r="C73" s="75">
        <f t="shared" si="1"/>
        <v>0.61</v>
      </c>
      <c r="D73" s="76" cm="1">
        <f t="array" aca="1" ref="D73" ca="1">IF(ISNUMBER(_xll.VoseSimPercentile(Out_Loss_Start,$B73)),_xll.VoseSimPercentile(Out_Loss_Start,$B73),NA())</f>
        <v>-36.964951615451717</v>
      </c>
      <c r="E73" s="76" cm="1">
        <f t="array" aca="1" ref="E73" ca="1">IF(ISNUMBER(_xll.VoseSimPercentile(Out_Loss_Plan,$B73)),_xll.VoseSimPercentile(Out_Loss_Plan,$B73),NA())</f>
        <v>-39.072770983743474</v>
      </c>
      <c r="F73" s="76">
        <f t="shared" si="2"/>
        <v>50</v>
      </c>
    </row>
    <row r="74" spans="2:6" hidden="1" outlineLevel="1" x14ac:dyDescent="0.45">
      <c r="B74" s="75">
        <v>0.41</v>
      </c>
      <c r="C74" s="75">
        <f t="shared" si="1"/>
        <v>0.59000000000000008</v>
      </c>
      <c r="D74" s="76" cm="1">
        <f t="array" aca="1" ref="D74" ca="1">IF(ISNUMBER(_xll.VoseSimPercentile(Out_Loss_Start,$B74)),_xll.VoseSimPercentile(Out_Loss_Start,$B74),NA())</f>
        <v>-34.954965295297498</v>
      </c>
      <c r="E74" s="76" cm="1">
        <f t="array" aca="1" ref="E74" ca="1">IF(ISNUMBER(_xll.VoseSimPercentile(Out_Loss_Plan,$B74)),_xll.VoseSimPercentile(Out_Loss_Plan,$B74),NA())</f>
        <v>-36.685899599997917</v>
      </c>
      <c r="F74" s="76">
        <f t="shared" si="2"/>
        <v>50</v>
      </c>
    </row>
    <row r="75" spans="2:6" hidden="1" outlineLevel="1" x14ac:dyDescent="0.45">
      <c r="B75" s="75">
        <v>0.43</v>
      </c>
      <c r="C75" s="75">
        <f t="shared" si="1"/>
        <v>0.57000000000000006</v>
      </c>
      <c r="D75" s="76" cm="1">
        <f t="array" aca="1" ref="D75" ca="1">IF(ISNUMBER(_xll.VoseSimPercentile(Out_Loss_Start,$B75)),_xll.VoseSimPercentile(Out_Loss_Start,$B75),NA())</f>
        <v>-33.046570135471192</v>
      </c>
      <c r="E75" s="76" cm="1">
        <f t="array" aca="1" ref="E75" ca="1">IF(ISNUMBER(_xll.VoseSimPercentile(Out_Loss_Plan,$B75)),_xll.VoseSimPercentile(Out_Loss_Plan,$B75),NA())</f>
        <v>-34.752296175057445</v>
      </c>
      <c r="F75" s="76">
        <f t="shared" si="2"/>
        <v>50</v>
      </c>
    </row>
    <row r="76" spans="2:6" hidden="1" outlineLevel="1" x14ac:dyDescent="0.45">
      <c r="B76" s="75">
        <v>0.45</v>
      </c>
      <c r="C76" s="75">
        <f t="shared" si="1"/>
        <v>0.55000000000000004</v>
      </c>
      <c r="D76" s="76" cm="1">
        <f t="array" aca="1" ref="D76" ca="1">IF(ISNUMBER(_xll.VoseSimPercentile(Out_Loss_Start,$B76)),_xll.VoseSimPercentile(Out_Loss_Start,$B76),NA())</f>
        <v>-31.284313559017118</v>
      </c>
      <c r="E76" s="76" cm="1">
        <f t="array" aca="1" ref="E76" ca="1">IF(ISNUMBER(_xll.VoseSimPercentile(Out_Loss_Plan,$B76)),_xll.VoseSimPercentile(Out_Loss_Plan,$B76),NA())</f>
        <v>-32.757109917111563</v>
      </c>
      <c r="F76" s="76">
        <f t="shared" si="2"/>
        <v>50</v>
      </c>
    </row>
    <row r="77" spans="2:6" hidden="1" outlineLevel="1" x14ac:dyDescent="0.45">
      <c r="B77" s="75">
        <v>0.47</v>
      </c>
      <c r="C77" s="75">
        <f t="shared" si="1"/>
        <v>0.53</v>
      </c>
      <c r="D77" s="76" cm="1">
        <f t="array" aca="1" ref="D77" ca="1">IF(ISNUMBER(_xll.VoseSimPercentile(Out_Loss_Start,$B77)),_xll.VoseSimPercentile(Out_Loss_Start,$B77),NA())</f>
        <v>-29.439034714448734</v>
      </c>
      <c r="E77" s="76" cm="1">
        <f t="array" aca="1" ref="E77" ca="1">IF(ISNUMBER(_xll.VoseSimPercentile(Out_Loss_Plan,$B77)),_xll.VoseSimPercentile(Out_Loss_Plan,$B77),NA())</f>
        <v>-30.694202063265184</v>
      </c>
      <c r="F77" s="76">
        <f t="shared" si="2"/>
        <v>50</v>
      </c>
    </row>
    <row r="78" spans="2:6" hidden="1" outlineLevel="1" x14ac:dyDescent="0.45">
      <c r="B78" s="75">
        <v>0.49</v>
      </c>
      <c r="C78" s="75">
        <f t="shared" si="1"/>
        <v>0.51</v>
      </c>
      <c r="D78" s="76" cm="1">
        <f t="array" aca="1" ref="D78" ca="1">IF(ISNUMBER(_xll.VoseSimPercentile(Out_Loss_Start,$B78)),_xll.VoseSimPercentile(Out_Loss_Start,$B78),NA())</f>
        <v>-27.800250148580709</v>
      </c>
      <c r="E78" s="76" cm="1">
        <f t="array" aca="1" ref="E78" ca="1">IF(ISNUMBER(_xll.VoseSimPercentile(Out_Loss_Plan,$B78)),_xll.VoseSimPercentile(Out_Loss_Plan,$B78),NA())</f>
        <v>-28.945820165766836</v>
      </c>
      <c r="F78" s="76">
        <f t="shared" si="2"/>
        <v>50</v>
      </c>
    </row>
    <row r="79" spans="2:6" hidden="1" outlineLevel="1" x14ac:dyDescent="0.45">
      <c r="B79" s="75">
        <v>0.51</v>
      </c>
      <c r="C79" s="75">
        <f t="shared" si="1"/>
        <v>0.49</v>
      </c>
      <c r="D79" s="76" cm="1">
        <f t="array" aca="1" ref="D79" ca="1">IF(ISNUMBER(_xll.VoseSimPercentile(Out_Loss_Start,$B79)),_xll.VoseSimPercentile(Out_Loss_Start,$B79),NA())</f>
        <v>-26.001708992014873</v>
      </c>
      <c r="E79" s="76" cm="1">
        <f t="array" aca="1" ref="E79" ca="1">IF(ISNUMBER(_xll.VoseSimPercentile(Out_Loss_Plan,$B79)),_xll.VoseSimPercentile(Out_Loss_Plan,$B79),NA())</f>
        <v>-26.933763708071176</v>
      </c>
      <c r="F79" s="76">
        <f t="shared" si="2"/>
        <v>50</v>
      </c>
    </row>
    <row r="80" spans="2:6" hidden="1" outlineLevel="1" x14ac:dyDescent="0.45">
      <c r="B80" s="75">
        <v>0.53</v>
      </c>
      <c r="C80" s="75">
        <f t="shared" si="1"/>
        <v>0.47</v>
      </c>
      <c r="D80" s="76" cm="1">
        <f t="array" aca="1" ref="D80" ca="1">IF(ISNUMBER(_xll.VoseSimPercentile(Out_Loss_Start,$B80)),_xll.VoseSimPercentile(Out_Loss_Start,$B80),NA())</f>
        <v>-24.117728105562616</v>
      </c>
      <c r="E80" s="76" cm="1">
        <f t="array" aca="1" ref="E80" ca="1">IF(ISNUMBER(_xll.VoseSimPercentile(Out_Loss_Plan,$B80)),_xll.VoseSimPercentile(Out_Loss_Plan,$B80),NA())</f>
        <v>-25.032260608936337</v>
      </c>
      <c r="F80" s="76">
        <f t="shared" si="2"/>
        <v>50</v>
      </c>
    </row>
    <row r="81" spans="2:6" hidden="1" outlineLevel="1" x14ac:dyDescent="0.45">
      <c r="B81" s="75">
        <v>0.55000000000000004</v>
      </c>
      <c r="C81" s="75">
        <f t="shared" si="1"/>
        <v>0.44999999999999996</v>
      </c>
      <c r="D81" s="76" cm="1">
        <f t="array" aca="1" ref="D81" ca="1">IF(ISNUMBER(_xll.VoseSimPercentile(Out_Loss_Start,$B81)),_xll.VoseSimPercentile(Out_Loss_Start,$B81),NA())</f>
        <v>-22.236209395970786</v>
      </c>
      <c r="E81" s="76" cm="1">
        <f t="array" aca="1" ref="E81" ca="1">IF(ISNUMBER(_xll.VoseSimPercentile(Out_Loss_Plan,$B81)),_xll.VoseSimPercentile(Out_Loss_Plan,$B81),NA())</f>
        <v>-22.908600504854828</v>
      </c>
      <c r="F81" s="76">
        <f t="shared" si="2"/>
        <v>50</v>
      </c>
    </row>
    <row r="82" spans="2:6" hidden="1" outlineLevel="1" x14ac:dyDescent="0.45">
      <c r="B82" s="75">
        <v>0.56999999999999995</v>
      </c>
      <c r="C82" s="75">
        <f t="shared" si="1"/>
        <v>0.43000000000000005</v>
      </c>
      <c r="D82" s="76" cm="1">
        <f t="array" aca="1" ref="D82" ca="1">IF(ISNUMBER(_xll.VoseSimPercentile(Out_Loss_Start,$B82)),_xll.VoseSimPercentile(Out_Loss_Start,$B82),NA())</f>
        <v>-20.504763011243966</v>
      </c>
      <c r="E82" s="76" cm="1">
        <f t="array" aca="1" ref="E82" ca="1">IF(ISNUMBER(_xll.VoseSimPercentile(Out_Loss_Plan,$B82)),_xll.VoseSimPercentile(Out_Loss_Plan,$B82),NA())</f>
        <v>-21.097376075915783</v>
      </c>
      <c r="F82" s="76">
        <f t="shared" si="2"/>
        <v>50</v>
      </c>
    </row>
    <row r="83" spans="2:6" hidden="1" outlineLevel="1" x14ac:dyDescent="0.45">
      <c r="B83" s="75">
        <v>0.59</v>
      </c>
      <c r="C83" s="75">
        <f t="shared" si="1"/>
        <v>0.41000000000000003</v>
      </c>
      <c r="D83" s="76" cm="1">
        <f t="array" aca="1" ref="D83" ca="1">IF(ISNUMBER(_xll.VoseSimPercentile(Out_Loss_Start,$B83)),_xll.VoseSimPercentile(Out_Loss_Start,$B83),NA())</f>
        <v>-18.802575643197212</v>
      </c>
      <c r="E83" s="76" cm="1">
        <f t="array" aca="1" ref="E83" ca="1">IF(ISNUMBER(_xll.VoseSimPercentile(Out_Loss_Plan,$B83)),_xll.VoseSimPercentile(Out_Loss_Plan,$B83),NA())</f>
        <v>-19.09963779366608</v>
      </c>
      <c r="F83" s="76">
        <f t="shared" si="2"/>
        <v>50</v>
      </c>
    </row>
    <row r="84" spans="2:6" hidden="1" outlineLevel="1" x14ac:dyDescent="0.45">
      <c r="B84" s="75">
        <v>0.61</v>
      </c>
      <c r="C84" s="75">
        <f t="shared" si="1"/>
        <v>0.39</v>
      </c>
      <c r="D84" s="76" cm="1">
        <f t="array" aca="1" ref="D84" ca="1">IF(ISNUMBER(_xll.VoseSimPercentile(Out_Loss_Start,$B84)),_xll.VoseSimPercentile(Out_Loss_Start,$B84),NA())</f>
        <v>-16.935560519582353</v>
      </c>
      <c r="E84" s="76" cm="1">
        <f t="array" aca="1" ref="E84" ca="1">IF(ISNUMBER(_xll.VoseSimPercentile(Out_Loss_Plan,$B84)),_xll.VoseSimPercentile(Out_Loss_Plan,$B84),NA())</f>
        <v>-17.099071202675947</v>
      </c>
      <c r="F84" s="76">
        <f t="shared" si="2"/>
        <v>50</v>
      </c>
    </row>
    <row r="85" spans="2:6" hidden="1" outlineLevel="1" x14ac:dyDescent="0.45">
      <c r="B85" s="75">
        <v>0.63</v>
      </c>
      <c r="C85" s="75">
        <f t="shared" si="1"/>
        <v>0.37</v>
      </c>
      <c r="D85" s="76" cm="1">
        <f t="array" aca="1" ref="D85" ca="1">IF(ISNUMBER(_xll.VoseSimPercentile(Out_Loss_Start,$B85)),_xll.VoseSimPercentile(Out_Loss_Start,$B85),NA())</f>
        <v>-15.027604515097931</v>
      </c>
      <c r="E85" s="76" cm="1">
        <f t="array" aca="1" ref="E85" ca="1">IF(ISNUMBER(_xll.VoseSimPercentile(Out_Loss_Plan,$B85)),_xll.VoseSimPercentile(Out_Loss_Plan,$B85),NA())</f>
        <v>-15.08481976250342</v>
      </c>
      <c r="F85" s="76">
        <f t="shared" si="2"/>
        <v>50</v>
      </c>
    </row>
    <row r="86" spans="2:6" hidden="1" outlineLevel="1" x14ac:dyDescent="0.45">
      <c r="B86" s="75">
        <v>0.65</v>
      </c>
      <c r="C86" s="75">
        <f t="shared" ref="C86:C103" si="3">1-B86</f>
        <v>0.35</v>
      </c>
      <c r="D86" s="76" cm="1">
        <f t="array" aca="1" ref="D86" ca="1">IF(ISNUMBER(_xll.VoseSimPercentile(Out_Loss_Start,$B86)),_xll.VoseSimPercentile(Out_Loss_Start,$B86),NA())</f>
        <v>-13.117159438352868</v>
      </c>
      <c r="E86" s="76" cm="1">
        <f t="array" aca="1" ref="E86" ca="1">IF(ISNUMBER(_xll.VoseSimPercentile(Out_Loss_Plan,$B86)),_xll.VoseSimPercentile(Out_Loss_Plan,$B86),NA())</f>
        <v>-12.77232344390384</v>
      </c>
      <c r="F86" s="76">
        <f t="shared" ref="F86:F103" si="4">VaRLimit</f>
        <v>50</v>
      </c>
    </row>
    <row r="87" spans="2:6" hidden="1" outlineLevel="1" x14ac:dyDescent="0.45">
      <c r="B87" s="75">
        <v>0.67</v>
      </c>
      <c r="C87" s="75">
        <f t="shared" si="3"/>
        <v>0.32999999999999996</v>
      </c>
      <c r="D87" s="76" cm="1">
        <f t="array" aca="1" ref="D87" ca="1">IF(ISNUMBER(_xll.VoseSimPercentile(Out_Loss_Start,$B87)),_xll.VoseSimPercentile(Out_Loss_Start,$B87),NA())</f>
        <v>-11.262095604794011</v>
      </c>
      <c r="E87" s="76" cm="1">
        <f t="array" aca="1" ref="E87" ca="1">IF(ISNUMBER(_xll.VoseSimPercentile(Out_Loss_Plan,$B87)),_xll.VoseSimPercentile(Out_Loss_Plan,$B87),NA())</f>
        <v>-10.396143719418955</v>
      </c>
      <c r="F87" s="76">
        <f t="shared" si="4"/>
        <v>50</v>
      </c>
    </row>
    <row r="88" spans="2:6" hidden="1" outlineLevel="1" x14ac:dyDescent="0.45">
      <c r="B88" s="75">
        <v>0.69</v>
      </c>
      <c r="C88" s="75">
        <f t="shared" si="3"/>
        <v>0.31000000000000005</v>
      </c>
      <c r="D88" s="76" cm="1">
        <f t="array" aca="1" ref="D88" ca="1">IF(ISNUMBER(_xll.VoseSimPercentile(Out_Loss_Start,$B88)),_xll.VoseSimPercentile(Out_Loss_Start,$B88),NA())</f>
        <v>-9.0523159585119828</v>
      </c>
      <c r="E88" s="76" cm="1">
        <f t="array" aca="1" ref="E88" ca="1">IF(ISNUMBER(_xll.VoseSimPercentile(Out_Loss_Plan,$B88)),_xll.VoseSimPercentile(Out_Loss_Plan,$B88),NA())</f>
        <v>-8.1916158914049344</v>
      </c>
      <c r="F88" s="76">
        <f t="shared" si="4"/>
        <v>50</v>
      </c>
    </row>
    <row r="89" spans="2:6" hidden="1" outlineLevel="1" x14ac:dyDescent="0.45">
      <c r="B89" s="75">
        <v>0.71</v>
      </c>
      <c r="C89" s="75">
        <f t="shared" si="3"/>
        <v>0.29000000000000004</v>
      </c>
      <c r="D89" s="76" cm="1">
        <f t="array" aca="1" ref="D89" ca="1">IF(ISNUMBER(_xll.VoseSimPercentile(Out_Loss_Start,$B89)),_xll.VoseSimPercentile(Out_Loss_Start,$B89),NA())</f>
        <v>-6.873481031406885</v>
      </c>
      <c r="E89" s="76" cm="1">
        <f t="array" aca="1" ref="E89" ca="1">IF(ISNUMBER(_xll.VoseSimPercentile(Out_Loss_Plan,$B89)),_xll.VoseSimPercentile(Out_Loss_Plan,$B89),NA())</f>
        <v>-5.6184302435581381</v>
      </c>
      <c r="F89" s="76">
        <f t="shared" si="4"/>
        <v>50</v>
      </c>
    </row>
    <row r="90" spans="2:6" hidden="1" outlineLevel="1" x14ac:dyDescent="0.45">
      <c r="B90" s="75">
        <v>0.73</v>
      </c>
      <c r="C90" s="75">
        <f t="shared" si="3"/>
        <v>0.27</v>
      </c>
      <c r="D90" s="76" cm="1">
        <f t="array" aca="1" ref="D90" ca="1">IF(ISNUMBER(_xll.VoseSimPercentile(Out_Loss_Start,$B90)),_xll.VoseSimPercentile(Out_Loss_Start,$B90),NA())</f>
        <v>-4.4983114550632228</v>
      </c>
      <c r="E90" s="76" cm="1">
        <f t="array" aca="1" ref="E90" ca="1">IF(ISNUMBER(_xll.VoseSimPercentile(Out_Loss_Plan,$B90)),_xll.VoseSimPercentile(Out_Loss_Plan,$B90),NA())</f>
        <v>-3.0389473793915185</v>
      </c>
      <c r="F90" s="76">
        <f t="shared" si="4"/>
        <v>50</v>
      </c>
    </row>
    <row r="91" spans="2:6" hidden="1" outlineLevel="1" x14ac:dyDescent="0.45">
      <c r="B91" s="75">
        <v>0.75</v>
      </c>
      <c r="C91" s="75">
        <f t="shared" si="3"/>
        <v>0.25</v>
      </c>
      <c r="D91" s="76" cm="1">
        <f t="array" aca="1" ref="D91" ca="1">IF(ISNUMBER(_xll.VoseSimPercentile(Out_Loss_Start,$B91)),_xll.VoseSimPercentile(Out_Loss_Start,$B91),NA())</f>
        <v>-2.1391140228691641</v>
      </c>
      <c r="E91" s="76" cm="1">
        <f t="array" aca="1" ref="E91" ca="1">IF(ISNUMBER(_xll.VoseSimPercentile(Out_Loss_Plan,$B91)),_xll.VoseSimPercentile(Out_Loss_Plan,$B91),NA())</f>
        <v>-0.17583618426019559</v>
      </c>
      <c r="F91" s="76">
        <f t="shared" si="4"/>
        <v>50</v>
      </c>
    </row>
    <row r="92" spans="2:6" hidden="1" outlineLevel="1" x14ac:dyDescent="0.45">
      <c r="B92" s="75">
        <v>0.77</v>
      </c>
      <c r="C92" s="75">
        <f t="shared" si="3"/>
        <v>0.22999999999999998</v>
      </c>
      <c r="D92" s="76" cm="1">
        <f t="array" aca="1" ref="D92" ca="1">IF(ISNUMBER(_xll.VoseSimPercentile(Out_Loss_Start,$B92)),_xll.VoseSimPercentile(Out_Loss_Start,$B92),NA())</f>
        <v>0.55781171650968431</v>
      </c>
      <c r="E92" s="76" cm="1">
        <f t="array" aca="1" ref="E92" ca="1">IF(ISNUMBER(_xll.VoseSimPercentile(Out_Loss_Plan,$B92)),_xll.VoseSimPercentile(Out_Loss_Plan,$B92),NA())</f>
        <v>2.5255268613956958</v>
      </c>
      <c r="F92" s="76">
        <f t="shared" si="4"/>
        <v>50</v>
      </c>
    </row>
    <row r="93" spans="2:6" hidden="1" outlineLevel="1" x14ac:dyDescent="0.45">
      <c r="B93" s="75">
        <v>0.79</v>
      </c>
      <c r="C93" s="75">
        <f t="shared" si="3"/>
        <v>0.20999999999999996</v>
      </c>
      <c r="D93" s="76" cm="1">
        <f t="array" aca="1" ref="D93" ca="1">IF(ISNUMBER(_xll.VoseSimPercentile(Out_Loss_Start,$B93)),_xll.VoseSimPercentile(Out_Loss_Start,$B93),NA())</f>
        <v>3.3176300982633022</v>
      </c>
      <c r="E93" s="76" cm="1">
        <f t="array" aca="1" ref="E93" ca="1">IF(ISNUMBER(_xll.VoseSimPercentile(Out_Loss_Plan,$B93)),_xll.VoseSimPercentile(Out_Loss_Plan,$B93),NA())</f>
        <v>5.3847815422205025</v>
      </c>
      <c r="F93" s="76">
        <f t="shared" si="4"/>
        <v>50</v>
      </c>
    </row>
    <row r="94" spans="2:6" hidden="1" outlineLevel="1" x14ac:dyDescent="0.45">
      <c r="B94" s="75">
        <v>0.81</v>
      </c>
      <c r="C94" s="75">
        <f t="shared" si="3"/>
        <v>0.18999999999999995</v>
      </c>
      <c r="D94" s="76" cm="1">
        <f t="array" aca="1" ref="D94" ca="1">IF(ISNUMBER(_xll.VoseSimPercentile(Out_Loss_Start,$B94)),_xll.VoseSimPercentile(Out_Loss_Start,$B94),NA())</f>
        <v>6.2097903283168359</v>
      </c>
      <c r="E94" s="76" cm="1">
        <f t="array" aca="1" ref="E94" ca="1">IF(ISNUMBER(_xll.VoseSimPercentile(Out_Loss_Plan,$B94)),_xll.VoseSimPercentile(Out_Loss_Plan,$B94),NA())</f>
        <v>8.5517576674550551</v>
      </c>
      <c r="F94" s="76">
        <f t="shared" si="4"/>
        <v>50</v>
      </c>
    </row>
    <row r="95" spans="2:6" hidden="1" outlineLevel="1" x14ac:dyDescent="0.45">
      <c r="B95" s="75">
        <v>0.83</v>
      </c>
      <c r="C95" s="75">
        <f t="shared" si="3"/>
        <v>0.17000000000000004</v>
      </c>
      <c r="D95" s="76" cm="1">
        <f t="array" aca="1" ref="D95" ca="1">IF(ISNUMBER(_xll.VoseSimPercentile(Out_Loss_Start,$B95)),_xll.VoseSimPercentile(Out_Loss_Start,$B95),NA())</f>
        <v>9.0126061601835765</v>
      </c>
      <c r="E95" s="76" cm="1">
        <f t="array" aca="1" ref="E95" ca="1">IF(ISNUMBER(_xll.VoseSimPercentile(Out_Loss_Plan,$B95)),_xll.VoseSimPercentile(Out_Loss_Plan,$B95),NA())</f>
        <v>11.802989431769678</v>
      </c>
      <c r="F95" s="76">
        <f t="shared" si="4"/>
        <v>50</v>
      </c>
    </row>
    <row r="96" spans="2:6" hidden="1" outlineLevel="1" x14ac:dyDescent="0.45">
      <c r="B96" s="75">
        <v>0.85</v>
      </c>
      <c r="C96" s="75">
        <f t="shared" si="3"/>
        <v>0.15000000000000002</v>
      </c>
      <c r="D96" s="76" cm="1">
        <f t="array" aca="1" ref="D96" ca="1">IF(ISNUMBER(_xll.VoseSimPercentile(Out_Loss_Start,$B96)),_xll.VoseSimPercentile(Out_Loss_Start,$B96),NA())</f>
        <v>12.438933861785909</v>
      </c>
      <c r="E96" s="76" cm="1">
        <f t="array" aca="1" ref="E96" ca="1">IF(ISNUMBER(_xll.VoseSimPercentile(Out_Loss_Plan,$B96)),_xll.VoseSimPercentile(Out_Loss_Plan,$B96),NA())</f>
        <v>15.918357783806414</v>
      </c>
      <c r="F96" s="76">
        <f t="shared" si="4"/>
        <v>50</v>
      </c>
    </row>
    <row r="97" spans="2:6" hidden="1" outlineLevel="1" x14ac:dyDescent="0.45">
      <c r="B97" s="75">
        <v>0.87</v>
      </c>
      <c r="C97" s="75">
        <f t="shared" si="3"/>
        <v>0.13</v>
      </c>
      <c r="D97" s="76" cm="1">
        <f t="array" aca="1" ref="D97" ca="1">IF(ISNUMBER(_xll.VoseSimPercentile(Out_Loss_Start,$B97)),_xll.VoseSimPercentile(Out_Loss_Start,$B97),NA())</f>
        <v>16.532079303362085</v>
      </c>
      <c r="E97" s="76" cm="1">
        <f t="array" aca="1" ref="E97" ca="1">IF(ISNUMBER(_xll.VoseSimPercentile(Out_Loss_Plan,$B97)),_xll.VoseSimPercentile(Out_Loss_Plan,$B97),NA())</f>
        <v>20.157484885265983</v>
      </c>
      <c r="F97" s="76">
        <f t="shared" si="4"/>
        <v>50</v>
      </c>
    </row>
    <row r="98" spans="2:6" hidden="1" outlineLevel="1" x14ac:dyDescent="0.45">
      <c r="B98" s="75">
        <v>0.89</v>
      </c>
      <c r="C98" s="75">
        <f t="shared" si="3"/>
        <v>0.10999999999999999</v>
      </c>
      <c r="D98" s="76" cm="1">
        <f t="array" aca="1" ref="D98" ca="1">IF(ISNUMBER(_xll.VoseSimPercentile(Out_Loss_Start,$B98)),_xll.VoseSimPercentile(Out_Loss_Start,$B98),NA())</f>
        <v>21.238206331242484</v>
      </c>
      <c r="E98" s="76" cm="1">
        <f t="array" aca="1" ref="E98" ca="1">IF(ISNUMBER(_xll.VoseSimPercentile(Out_Loss_Plan,$B98)),_xll.VoseSimPercentile(Out_Loss_Plan,$B98),NA())</f>
        <v>25.315593197799515</v>
      </c>
      <c r="F98" s="76">
        <f t="shared" si="4"/>
        <v>50</v>
      </c>
    </row>
    <row r="99" spans="2:6" hidden="1" outlineLevel="1" x14ac:dyDescent="0.45">
      <c r="B99" s="75">
        <v>0.91</v>
      </c>
      <c r="C99" s="75">
        <f t="shared" si="3"/>
        <v>8.9999999999999969E-2</v>
      </c>
      <c r="D99" s="76" cm="1">
        <f t="array" aca="1" ref="D99" ca="1">IF(ISNUMBER(_xll.VoseSimPercentile(Out_Loss_Start,$B99)),_xll.VoseSimPercentile(Out_Loss_Start,$B99),NA())</f>
        <v>26.854595587642667</v>
      </c>
      <c r="E99" s="76" cm="1">
        <f t="array" aca="1" ref="E99" ca="1">IF(ISNUMBER(_xll.VoseSimPercentile(Out_Loss_Plan,$B99)),_xll.VoseSimPercentile(Out_Loss_Plan,$B99),NA())</f>
        <v>31.360560384186812</v>
      </c>
      <c r="F99" s="76">
        <f t="shared" si="4"/>
        <v>50</v>
      </c>
    </row>
    <row r="100" spans="2:6" hidden="1" outlineLevel="1" x14ac:dyDescent="0.45">
      <c r="B100" s="75">
        <v>0.93</v>
      </c>
      <c r="C100" s="75">
        <f t="shared" si="3"/>
        <v>6.9999999999999951E-2</v>
      </c>
      <c r="D100" s="76" cm="1">
        <f t="array" aca="1" ref="D100" ca="1">IF(ISNUMBER(_xll.VoseSimPercentile(Out_Loss_Start,$B100)),_xll.VoseSimPercentile(Out_Loss_Start,$B100),NA())</f>
        <v>33.280372186031641</v>
      </c>
      <c r="E100" s="76" cm="1">
        <f t="array" aca="1" ref="E100" ca="1">IF(ISNUMBER(_xll.VoseSimPercentile(Out_Loss_Plan,$B100)),_xll.VoseSimPercentile(Out_Loss_Plan,$B100),NA())</f>
        <v>38.838790018794271</v>
      </c>
      <c r="F100" s="76">
        <f t="shared" si="4"/>
        <v>50</v>
      </c>
    </row>
    <row r="101" spans="2:6" hidden="1" outlineLevel="1" x14ac:dyDescent="0.45">
      <c r="B101" s="75">
        <v>0.95</v>
      </c>
      <c r="C101" s="75">
        <f t="shared" si="3"/>
        <v>5.0000000000000044E-2</v>
      </c>
      <c r="D101" s="76" cm="1">
        <f t="array" aca="1" ref="D101" ca="1">IF(ISNUMBER(_xll.VoseSimPercentile(Out_Loss_Start,$B101)),_xll.VoseSimPercentile(Out_Loss_Start,$B101),NA())</f>
        <v>42.714787288786191</v>
      </c>
      <c r="E101" s="76" cm="1">
        <f t="array" aca="1" ref="E101" ca="1">IF(ISNUMBER(_xll.VoseSimPercentile(Out_Loss_Plan,$B101)),_xll.VoseSimPercentile(Out_Loss_Plan,$B101),NA())</f>
        <v>49.639563390880156</v>
      </c>
      <c r="F101" s="76">
        <f t="shared" si="4"/>
        <v>50</v>
      </c>
    </row>
    <row r="102" spans="2:6" hidden="1" outlineLevel="1" x14ac:dyDescent="0.45">
      <c r="B102" s="75">
        <v>0.97</v>
      </c>
      <c r="C102" s="75">
        <f t="shared" si="3"/>
        <v>3.0000000000000027E-2</v>
      </c>
      <c r="D102" s="76" cm="1">
        <f t="array" aca="1" ref="D102" ca="1">IF(ISNUMBER(_xll.VoseSimPercentile(Out_Loss_Start,$B102)),_xll.VoseSimPercentile(Out_Loss_Start,$B102),NA())</f>
        <v>57.823566064887899</v>
      </c>
      <c r="E102" s="76" cm="1">
        <f t="array" aca="1" ref="E102" ca="1">IF(ISNUMBER(_xll.VoseSimPercentile(Out_Loss_Plan,$B102)),_xll.VoseSimPercentile(Out_Loss_Plan,$B102),NA())</f>
        <v>65.873396556242355</v>
      </c>
      <c r="F102" s="76">
        <f t="shared" si="4"/>
        <v>50</v>
      </c>
    </row>
    <row r="103" spans="2:6" hidden="1" outlineLevel="1" x14ac:dyDescent="0.45">
      <c r="B103" s="75">
        <v>0.99</v>
      </c>
      <c r="C103" s="75">
        <f t="shared" si="3"/>
        <v>1.0000000000000009E-2</v>
      </c>
      <c r="D103" s="76" cm="1">
        <f t="array" aca="1" ref="D103" ca="1">IF(ISNUMBER(_xll.VoseSimPercentile(Out_Loss_Start,$B103)),_xll.VoseSimPercentile(Out_Loss_Start,$B103),NA())</f>
        <v>88.85543404044536</v>
      </c>
      <c r="E103" s="76" cm="1">
        <f t="array" aca="1" ref="E103" ca="1">IF(ISNUMBER(_xll.VoseSimPercentile(Out_Loss_Plan,$B103)),_xll.VoseSimPercentile(Out_Loss_Plan,$B103),NA())</f>
        <v>97.965609411610032</v>
      </c>
      <c r="F103" s="76">
        <f t="shared" si="4"/>
        <v>50</v>
      </c>
    </row>
  </sheetData>
  <mergeCells count="5">
    <mergeCell ref="B47:G47"/>
    <mergeCell ref="B46:G46"/>
    <mergeCell ref="B45:G45"/>
    <mergeCell ref="B44:G44"/>
    <mergeCell ref="B48:G48"/>
  </mergeCells>
  <conditionalFormatting sqref="B7">
    <cfRule type="expression" dxfId="7" priority="2">
      <formula>LEFT($B$7,1)="✗"</formula>
    </cfRule>
  </conditionalFormatting>
  <conditionalFormatting sqref="B6:G6">
    <cfRule type="expression" dxfId="6" priority="1">
      <formula>LEFT($B$6,1)&lt;&gt;"✔"</formula>
    </cfRule>
  </conditionalFormatting>
  <conditionalFormatting sqref="B31:G31">
    <cfRule type="expression" dxfId="5" priority="3">
      <formula>$B$31=VaRLimit</formula>
    </cfRule>
  </conditionalFormatting>
  <conditionalFormatting sqref="B32:G32">
    <cfRule type="expression" dxfId="4" priority="4">
      <formula>$B$32=VaRLimit</formula>
    </cfRule>
  </conditionalFormatting>
  <conditionalFormatting sqref="B33:G33">
    <cfRule type="expression" dxfId="3" priority="5">
      <formula>$B$33=VaRLimit</formula>
    </cfRule>
  </conditionalFormatting>
  <conditionalFormatting sqref="B34:G34">
    <cfRule type="expression" dxfId="2" priority="6">
      <formula>$B$34=VaRLimit</formula>
    </cfRule>
  </conditionalFormatting>
  <conditionalFormatting sqref="B35:G35">
    <cfRule type="expression" dxfId="1" priority="7">
      <formula>$B$35=VaRLimit</formula>
    </cfRule>
  </conditionalFormatting>
  <conditionalFormatting sqref="D54:F103">
    <cfRule type="expression" dxfId="0" priority="8">
      <formula>ISNA(D54)</formula>
    </cfRule>
  </conditionalFormatting>
  <hyperlinks>
    <hyperlink ref="B4" location="'Portfolio'!A1" display="◂  Portfolio" xr:uid="{00000000-0004-0000-04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42"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2"/>
  <sheetViews>
    <sheetView workbookViewId="0"/>
  </sheetViews>
  <sheetFormatPr defaultRowHeight="14.25" x14ac:dyDescent="0.45"/>
  <sheetData>
    <row r="1" spans="1:5" x14ac:dyDescent="0.45">
      <c r="A1" s="77" t="s">
        <v>267</v>
      </c>
      <c r="B1">
        <v>0</v>
      </c>
      <c r="C1">
        <v>1</v>
      </c>
      <c r="D1">
        <v>1</v>
      </c>
      <c r="E1" s="77" t="s">
        <v>268</v>
      </c>
    </row>
    <row r="2" spans="1:5" x14ac:dyDescent="0.45">
      <c r="A2">
        <v>1</v>
      </c>
      <c r="B2" s="77" t="s">
        <v>269</v>
      </c>
      <c r="C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DA13E-735A-4ACF-9126-FED711AF74E7}">
  <dimension ref="A1:B1"/>
  <sheetViews>
    <sheetView workbookViewId="0"/>
  </sheetViews>
  <sheetFormatPr defaultRowHeight="14.25" x14ac:dyDescent="0.45"/>
  <sheetData>
    <row r="1" spans="1:2" x14ac:dyDescent="0.45">
      <c r="A1" s="85" t="s">
        <v>274</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F4E0-1D30-45FE-BCC7-761B4206184F}">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22A0-7805-462D-9DE6-B6C94FA938FC}">
  <dimension ref="B3:B42"/>
  <sheetViews>
    <sheetView workbookViewId="0"/>
  </sheetViews>
  <sheetFormatPr defaultRowHeight="14.25" x14ac:dyDescent="0.45"/>
  <sheetData>
    <row r="3" spans="2:2" x14ac:dyDescent="0.45">
      <c r="B3">
        <v>2</v>
      </c>
    </row>
    <row r="4" spans="2:2" x14ac:dyDescent="0.45">
      <c r="B4">
        <v>2</v>
      </c>
    </row>
    <row r="5" spans="2:2" x14ac:dyDescent="0.45">
      <c r="B5">
        <v>10</v>
      </c>
    </row>
    <row r="6" spans="2:2" x14ac:dyDescent="0.45">
      <c r="B6">
        <v>50</v>
      </c>
    </row>
    <row r="7" spans="2:2" x14ac:dyDescent="0.45">
      <c r="B7">
        <v>266</v>
      </c>
    </row>
    <row r="8" spans="2:2" x14ac:dyDescent="0.45">
      <c r="B8">
        <v>797</v>
      </c>
    </row>
    <row r="9" spans="2:2" x14ac:dyDescent="0.45">
      <c r="B9">
        <v>670</v>
      </c>
    </row>
    <row r="10" spans="2:2" x14ac:dyDescent="0.45">
      <c r="B10">
        <v>163</v>
      </c>
    </row>
    <row r="11" spans="2:2" x14ac:dyDescent="0.45">
      <c r="B11">
        <v>32</v>
      </c>
    </row>
    <row r="12" spans="2:2" x14ac:dyDescent="0.45">
      <c r="B12">
        <v>8</v>
      </c>
    </row>
    <row r="13" spans="2:2" x14ac:dyDescent="0.45">
      <c r="B13">
        <v>8</v>
      </c>
    </row>
    <row r="14" spans="2:2" x14ac:dyDescent="0.45">
      <c r="B14">
        <v>32</v>
      </c>
    </row>
    <row r="15" spans="2:2" x14ac:dyDescent="0.45">
      <c r="B15">
        <v>169</v>
      </c>
    </row>
    <row r="16" spans="2:2" x14ac:dyDescent="0.45">
      <c r="B16">
        <v>674</v>
      </c>
    </row>
    <row r="17" spans="2:2" x14ac:dyDescent="0.45">
      <c r="B17">
        <v>790</v>
      </c>
    </row>
    <row r="18" spans="2:2" x14ac:dyDescent="0.45">
      <c r="B18">
        <v>263</v>
      </c>
    </row>
    <row r="19" spans="2:2" x14ac:dyDescent="0.45">
      <c r="B19">
        <v>50</v>
      </c>
    </row>
    <row r="20" spans="2:2" x14ac:dyDescent="0.45">
      <c r="B20">
        <v>10</v>
      </c>
    </row>
    <row r="21" spans="2:2" x14ac:dyDescent="0.45">
      <c r="B21">
        <v>2</v>
      </c>
    </row>
    <row r="22" spans="2:2" x14ac:dyDescent="0.45">
      <c r="B22">
        <v>2</v>
      </c>
    </row>
    <row r="23" spans="2:2" x14ac:dyDescent="0.45">
      <c r="B23">
        <v>2</v>
      </c>
    </row>
    <row r="24" spans="2:2" x14ac:dyDescent="0.45">
      <c r="B24">
        <v>1</v>
      </c>
    </row>
    <row r="25" spans="2:2" x14ac:dyDescent="0.45">
      <c r="B25">
        <v>9</v>
      </c>
    </row>
    <row r="26" spans="2:2" x14ac:dyDescent="0.45">
      <c r="B26">
        <v>48</v>
      </c>
    </row>
    <row r="27" spans="2:2" x14ac:dyDescent="0.45">
      <c r="B27">
        <v>244</v>
      </c>
    </row>
    <row r="28" spans="2:2" x14ac:dyDescent="0.45">
      <c r="B28">
        <v>783</v>
      </c>
    </row>
    <row r="29" spans="2:2" x14ac:dyDescent="0.45">
      <c r="B29">
        <v>688</v>
      </c>
    </row>
    <row r="30" spans="2:2" x14ac:dyDescent="0.45">
      <c r="B30">
        <v>181</v>
      </c>
    </row>
    <row r="31" spans="2:2" x14ac:dyDescent="0.45">
      <c r="B31">
        <v>37</v>
      </c>
    </row>
    <row r="32" spans="2:2" x14ac:dyDescent="0.45">
      <c r="B32">
        <v>7</v>
      </c>
    </row>
    <row r="33" spans="2:2" x14ac:dyDescent="0.45">
      <c r="B33">
        <v>7</v>
      </c>
    </row>
    <row r="34" spans="2:2" x14ac:dyDescent="0.45">
      <c r="B34">
        <v>38</v>
      </c>
    </row>
    <row r="35" spans="2:2" x14ac:dyDescent="0.45">
      <c r="B35">
        <v>186</v>
      </c>
    </row>
    <row r="36" spans="2:2" x14ac:dyDescent="0.45">
      <c r="B36">
        <v>691</v>
      </c>
    </row>
    <row r="37" spans="2:2" x14ac:dyDescent="0.45">
      <c r="B37">
        <v>777</v>
      </c>
    </row>
    <row r="38" spans="2:2" x14ac:dyDescent="0.45">
      <c r="B38">
        <v>243</v>
      </c>
    </row>
    <row r="39" spans="2:2" x14ac:dyDescent="0.45">
      <c r="B39">
        <v>46</v>
      </c>
    </row>
    <row r="40" spans="2:2" x14ac:dyDescent="0.45">
      <c r="B40">
        <v>9</v>
      </c>
    </row>
    <row r="41" spans="2:2" x14ac:dyDescent="0.45">
      <c r="B41">
        <v>1</v>
      </c>
    </row>
    <row r="42" spans="2:2" x14ac:dyDescent="0.45">
      <c r="B4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46F16250-8A03-4F1D-B8B5-6E8E348997B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90</vt:i4>
      </vt:variant>
    </vt:vector>
  </HeadingPairs>
  <TitlesOfParts>
    <vt:vector size="98" baseType="lpstr">
      <vt:lpstr>About</vt:lpstr>
      <vt:lpstr>Inputs</vt:lpstr>
      <vt:lpstr>Decisions</vt:lpstr>
      <vt:lpstr>Portfolio</vt:lpstr>
      <vt:lpstr>Results</vt:lpstr>
      <vt:lpstr>ModelRiskDSN</vt:lpstr>
      <vt:lpstr>ModelRiskSYS1</vt:lpstr>
      <vt:lpstr>ModelRiskCharts</vt:lpstr>
      <vt:lpstr>BigLoss</vt:lpstr>
      <vt:lpstr>C_Cred_RE</vt:lpstr>
      <vt:lpstr>C_Eq_Cred</vt:lpstr>
      <vt:lpstr>C_Eq_Gov</vt:lpstr>
      <vt:lpstr>C_Eq_RE</vt:lpstr>
      <vt:lpstr>C_Gov_Cred</vt:lpstr>
      <vt:lpstr>C_Gov_RE</vt:lpstr>
      <vt:lpstr>Checks</vt:lpstr>
      <vt:lpstr>CorrEigen</vt:lpstr>
      <vt:lpstr>CorrMatrix</vt:lpstr>
      <vt:lpstr>Front1_Limit</vt:lpstr>
      <vt:lpstr>Front1_Mean</vt:lpstr>
      <vt:lpstr>Front1_W_Cred</vt:lpstr>
      <vt:lpstr>Front1_W_Eq</vt:lpstr>
      <vt:lpstr>Front1_W_Gov</vt:lpstr>
      <vt:lpstr>Front1_W_RE</vt:lpstr>
      <vt:lpstr>Front2_Limit</vt:lpstr>
      <vt:lpstr>Front2_Mean</vt:lpstr>
      <vt:lpstr>Front2_W_Cred</vt:lpstr>
      <vt:lpstr>Front2_W_Eq</vt:lpstr>
      <vt:lpstr>Front2_W_Gov</vt:lpstr>
      <vt:lpstr>Front2_W_RE</vt:lpstr>
      <vt:lpstr>Front3_Limit</vt:lpstr>
      <vt:lpstr>Front3_Mean</vt:lpstr>
      <vt:lpstr>Front3_W_Cred</vt:lpstr>
      <vt:lpstr>Front3_W_Eq</vt:lpstr>
      <vt:lpstr>Front3_W_Gov</vt:lpstr>
      <vt:lpstr>Front3_W_RE</vt:lpstr>
      <vt:lpstr>Front4_Limit</vt:lpstr>
      <vt:lpstr>Front4_Mean</vt:lpstr>
      <vt:lpstr>Front4_W_Cred</vt:lpstr>
      <vt:lpstr>Front4_W_Eq</vt:lpstr>
      <vt:lpstr>Front4_W_Gov</vt:lpstr>
      <vt:lpstr>Front4_W_RE</vt:lpstr>
      <vt:lpstr>Front5_Limit</vt:lpstr>
      <vt:lpstr>Front5_Mean</vt:lpstr>
      <vt:lpstr>Front5_W_Cred</vt:lpstr>
      <vt:lpstr>Front5_W_Eq</vt:lpstr>
      <vt:lpstr>Front5_W_Gov</vt:lpstr>
      <vt:lpstr>Front5_W_RE</vt:lpstr>
      <vt:lpstr>Invested</vt:lpstr>
      <vt:lpstr>Mu_Cred</vt:lpstr>
      <vt:lpstr>Mu_Eq</vt:lpstr>
      <vt:lpstr>Mu_Gov</vt:lpstr>
      <vt:lpstr>Mu_RE</vt:lpstr>
      <vt:lpstr>NuCop</vt:lpstr>
      <vt:lpstr>NuMarg</vt:lpstr>
      <vt:lpstr>OptRun_Best</vt:lpstr>
      <vt:lpstr>OptRun_Date</vt:lpstr>
      <vt:lpstr>OptRun_Engine</vt:lpstr>
      <vt:lpstr>OptRun_Feasible</vt:lpstr>
      <vt:lpstr>OptRun_Samples</vt:lpstr>
      <vt:lpstr>OptRun_Seconds</vt:lpstr>
      <vt:lpstr>OptRun_Stop</vt:lpstr>
      <vt:lpstr>OptRun_Trials</vt:lpstr>
      <vt:lpstr>Out_Loss_Plan</vt:lpstr>
      <vt:lpstr>Out_Loss_Start</vt:lpstr>
      <vt:lpstr>Out_Return_Plan</vt:lpstr>
      <vt:lpstr>Out_Return_Start</vt:lpstr>
      <vt:lpstr>Results!Print_Area</vt:lpstr>
      <vt:lpstr>Decisions!Print_Titles</vt:lpstr>
      <vt:lpstr>Inputs!Print_Titles</vt:lpstr>
      <vt:lpstr>Results!Print_Titles</vt:lpstr>
      <vt:lpstr>R_Cred</vt:lpstr>
      <vt:lpstr>R_Eq</vt:lpstr>
      <vt:lpstr>R_Gov</vt:lpstr>
      <vt:lpstr>R_RE</vt:lpstr>
      <vt:lpstr>Sd_Cred</vt:lpstr>
      <vt:lpstr>Sd_Eq</vt:lpstr>
      <vt:lpstr>Sd_Gov</vt:lpstr>
      <vt:lpstr>Sd_RE</vt:lpstr>
      <vt:lpstr>VaRLimit</vt:lpstr>
      <vt:lpstr>W_Cred</vt:lpstr>
      <vt:lpstr>W_Cred_Hi</vt:lpstr>
      <vt:lpstr>W_Cred_Lo</vt:lpstr>
      <vt:lpstr>W_Cred_Start</vt:lpstr>
      <vt:lpstr>W_Eq</vt:lpstr>
      <vt:lpstr>W_Eq_Hi</vt:lpstr>
      <vt:lpstr>W_Eq_Lo</vt:lpstr>
      <vt:lpstr>W_Eq_Start</vt:lpstr>
      <vt:lpstr>W_Gov</vt:lpstr>
      <vt:lpstr>W_Gov_Hi</vt:lpstr>
      <vt:lpstr>W_Gov_Lo</vt:lpstr>
      <vt:lpstr>W_Gov_Start</vt:lpstr>
      <vt:lpstr>W_RE</vt:lpstr>
      <vt:lpstr>W_RE_Hi</vt:lpstr>
      <vt:lpstr>W_RE_Lo</vt:lpstr>
      <vt:lpstr>W_RE_Start</vt:lpstr>
      <vt:lpstr>WeightsOK_Plan</vt:lpstr>
      <vt:lpstr>WeightsOK_Start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CF-09 Investment Portfolio Chosen by the Optimizer</dc:title>
  <dc:subject>ModelRisk industry example library — Corporate finance</dc:subject>
  <dc:creator>Vose Software</dc:creator>
  <cp:keywords>ModelRisk; Monte Carlo; Corporate finance</cp:keywords>
  <dc:description>Four asset-class weights chosen together by the ModelRisk Optimizer: the highest mean return within a 95% VaR limit, against CF-06's allocation, with an efficient frontier.</dc:description>
  <cp:lastModifiedBy>Timour Koupeev</cp:lastModifiedBy>
  <dcterms:created xsi:type="dcterms:W3CDTF">2026-10-19T06:48:00Z</dcterms:created>
  <dcterms:modified xsi:type="dcterms:W3CDTF">2026-10-19T07:01:14Z</dcterms:modified>
</cp:coreProperties>
</file>