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9401CD85-8308-45F4-AC1D-9B56238A3C3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Strategies" sheetId="3" r:id="rId3"/>
    <sheet name="Results" sheetId="4" r:id="rId4"/>
    <sheet name="ModelRiskDSN" sheetId="5" state="hidden" r:id="rId5"/>
    <sheet name="ModelRiskSYS1" sheetId="6" state="hidden" r:id="rId6"/>
    <sheet name="ModelRiskCharts" sheetId="7" state="hidden" r:id="rId7"/>
  </sheets>
  <definedNames>
    <definedName name="Abandon">Strategies!$D$37</definedName>
    <definedName name="AbandonAt">Inputs!$D$33</definedName>
    <definedName name="Base_A">Strategies!$D$75</definedName>
    <definedName name="Base_B">Strategies!$D$76</definedName>
    <definedName name="Base_C">Strategies!$D$77</definedName>
    <definedName name="BigCap">Inputs!$D$19</definedName>
    <definedName name="BigCapex">Inputs!$D$20</definedName>
    <definedName name="BigFixed">Inputs!$D$21</definedName>
    <definedName name="CapAfter">Strategies!$D$48</definedName>
    <definedName name="CapAfterB">Strategies!$D$52</definedName>
    <definedName name="CashAt">Strategies!$D$50</definedName>
    <definedName name="CashAtB">Strategies!$D$54</definedName>
    <definedName name="Checks">Strategies!$D$81:$D$82</definedName>
    <definedName name="Contrib">Inputs!$D$14</definedName>
    <definedName name="D0">Inputs!$D$11</definedName>
    <definedName name="DecCap">Strategies!$F$43:$F$45</definedName>
    <definedName name="DecCash">Strategies!$H$43:$H$45</definedName>
    <definedName name="DecFixed">Strategies!$G$43:$G$45</definedName>
    <definedName name="DecideYear">Inputs!$D$31</definedName>
    <definedName name="DecInvest">Strategies!$I$43:$I$45</definedName>
    <definedName name="Decision">Strategies!$D$35</definedName>
    <definedName name="DecisionB">Strategies!$D$39</definedName>
    <definedName name="DecNames">Strategies!$B$43:$B$45</definedName>
    <definedName name="DemDec">Strategies!$D$34</definedName>
    <definedName name="DemDecB">Strategies!$D$38</definedName>
    <definedName name="DiscRate">Inputs!$D$37</definedName>
    <definedName name="Expand">Strategies!$D$36</definedName>
    <definedName name="ExpandAt">Inputs!$D$32</definedName>
    <definedName name="ExpCapex">Inputs!$D$25</definedName>
    <definedName name="FixAfter">Strategies!$D$49</definedName>
    <definedName name="FixAfterB">Strategies!$D$53</definedName>
    <definedName name="Growth">Inputs!$D$12</definedName>
    <definedName name="InvestAfter">Strategies!$D$51</definedName>
    <definedName name="InvestAfterB">Strategies!$D$55</definedName>
    <definedName name="Margin">Strategies!$D$12</definedName>
    <definedName name="Mu">Strategies!$D$11</definedName>
    <definedName name="NPV_A">Strategies!$D$72</definedName>
    <definedName name="NPV_B">Strategies!$D$73</definedName>
    <definedName name="NPV_C">Strategies!$D$74</definedName>
    <definedName name="_xlnm.Print_Area" localSheetId="3">Results!$A$1:$R$49</definedName>
    <definedName name="_xlnm.Print_Titles" localSheetId="1">Inputs!$1:$4</definedName>
    <definedName name="_xlnm.Print_Titles" localSheetId="3">Results!$1:$4</definedName>
    <definedName name="_xlnm.Print_Titles" localSheetId="2">Strategies!$6:$7,Strategies!$A:$D</definedName>
    <definedName name="Salvage">Inputs!$D$26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mallCap">Inputs!$D$22</definedName>
    <definedName name="SmallCapex">Inputs!$D$23</definedName>
    <definedName name="SmallFixed">Inputs!$D$24</definedName>
    <definedName name="Vol">Inputs!$D$13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6" i="4" l="1"/>
  <c r="G116" i="4"/>
  <c r="H115" i="4"/>
  <c r="G115" i="4"/>
  <c r="H114" i="4"/>
  <c r="G114" i="4"/>
  <c r="H113" i="4"/>
  <c r="G113" i="4"/>
  <c r="H112" i="4"/>
  <c r="G112" i="4"/>
  <c r="H111" i="4"/>
  <c r="G111" i="4"/>
  <c r="H110" i="4"/>
  <c r="G110" i="4"/>
  <c r="H109" i="4"/>
  <c r="G109" i="4"/>
  <c r="H108" i="4"/>
  <c r="G108" i="4"/>
  <c r="H107" i="4"/>
  <c r="G107"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D82" i="3"/>
  <c r="D81" i="3"/>
  <c r="B7" i="4" s="1"/>
  <c r="F67" i="3"/>
  <c r="F61" i="3"/>
  <c r="H45" i="3"/>
  <c r="I44" i="3"/>
  <c r="G44" i="3"/>
  <c r="F44" i="3"/>
  <c r="G43" i="3"/>
  <c r="F43" i="3"/>
  <c r="F29" i="3"/>
  <c r="F28" i="3"/>
  <c r="P27" i="3"/>
  <c r="O27" i="3"/>
  <c r="N27" i="3"/>
  <c r="M27" i="3"/>
  <c r="L27" i="3"/>
  <c r="K27" i="3"/>
  <c r="J27" i="3"/>
  <c r="I27" i="3"/>
  <c r="H27" i="3"/>
  <c r="G27" i="3"/>
  <c r="F24" i="3"/>
  <c r="F23" i="3"/>
  <c r="P22" i="3"/>
  <c r="O22" i="3"/>
  <c r="N22" i="3"/>
  <c r="M22" i="3"/>
  <c r="L22" i="3"/>
  <c r="K22" i="3"/>
  <c r="J22" i="3"/>
  <c r="I22" i="3"/>
  <c r="H22" i="3"/>
  <c r="G22" i="3"/>
  <c r="F19" i="3"/>
  <c r="F18" i="3"/>
  <c r="F16" i="3"/>
  <c r="D12" i="3"/>
  <c r="D11" i="3"/>
  <c r="G16" i="3" s="1" a="1"/>
  <c r="P16" i="3" s="1"/>
  <c r="P17" i="3" s="1" a="1"/>
  <c r="P17" i="3" s="1"/>
  <c r="G6" i="3"/>
  <c r="G18" i="3" s="1"/>
  <c r="G63" i="3"/>
  <c r="H6" i="3"/>
  <c r="H19" i="3" s="1"/>
  <c r="G66" i="3"/>
  <c r="G19" i="3"/>
  <c r="G64" i="3"/>
  <c r="B108" i="4"/>
  <c r="H57" i="3"/>
  <c r="I6" i="3"/>
  <c r="B109" i="4" s="1"/>
  <c r="H66" i="3"/>
  <c r="E116" i="4" a="1"/>
  <c r="C116" i="4" a="1"/>
  <c r="D116" i="4" a="1"/>
  <c r="F116" i="4" a="1"/>
  <c r="G29" i="3" l="1"/>
  <c r="H18" i="3"/>
  <c r="D38" i="3" s="1" a="1"/>
  <c r="D38" i="3" s="1"/>
  <c r="D39" i="3" s="1"/>
  <c r="D55" i="3" s="1"/>
  <c r="G58" i="3"/>
  <c r="B107" i="4"/>
  <c r="G60" i="3"/>
  <c r="H64" i="3"/>
  <c r="F116" i="4"/>
  <c r="D116" i="4"/>
  <c r="C116" i="4"/>
  <c r="E116" i="4"/>
  <c r="N16" i="3"/>
  <c r="N28" i="3" s="1"/>
  <c r="I65" i="3"/>
  <c r="I19" i="3"/>
  <c r="I66" i="3"/>
  <c r="I18" i="3"/>
  <c r="I29" i="3" s="1"/>
  <c r="J6" i="3"/>
  <c r="B110" i="4" s="1"/>
  <c r="I59" i="3"/>
  <c r="O16" i="3"/>
  <c r="I24" i="3"/>
  <c r="H29" i="3"/>
  <c r="H58" i="3"/>
  <c r="G59" i="3"/>
  <c r="K16" i="3"/>
  <c r="K17" i="3" s="1" a="1"/>
  <c r="K17" i="3" s="1"/>
  <c r="G57" i="3"/>
  <c r="H16" i="3"/>
  <c r="H28" i="3" s="1"/>
  <c r="I16" i="3"/>
  <c r="I23" i="3" s="1"/>
  <c r="H63" i="3"/>
  <c r="G16" i="3"/>
  <c r="G23" i="3" s="1"/>
  <c r="M16" i="3"/>
  <c r="L16" i="3"/>
  <c r="J16" i="3"/>
  <c r="H60" i="3"/>
  <c r="G24" i="3"/>
  <c r="P28" i="3"/>
  <c r="P23" i="3"/>
  <c r="G65" i="3"/>
  <c r="G67" i="3" s="1"/>
  <c r="F111" i="4" a="1"/>
  <c r="D111" i="4" a="1"/>
  <c r="E111" i="4" a="1"/>
  <c r="C111" i="4" a="1"/>
  <c r="N23" i="3" l="1"/>
  <c r="N17" i="3" a="1"/>
  <c r="N17" i="3" s="1"/>
  <c r="K28" i="3"/>
  <c r="D52" i="3"/>
  <c r="I63" i="3" s="1"/>
  <c r="D53" i="3"/>
  <c r="I64" i="3" s="1"/>
  <c r="I67" i="3" s="1"/>
  <c r="H24" i="3"/>
  <c r="D54" i="3"/>
  <c r="H65" i="3" s="1"/>
  <c r="H67" i="3" s="1"/>
  <c r="C111" i="4"/>
  <c r="E111" i="4"/>
  <c r="D111" i="4"/>
  <c r="F111" i="4"/>
  <c r="J17" i="3" a="1"/>
  <c r="J17" i="3" s="1"/>
  <c r="J28" i="3"/>
  <c r="J23" i="3"/>
  <c r="L28" i="3"/>
  <c r="L17" i="3" a="1"/>
  <c r="L17" i="3" s="1"/>
  <c r="L23" i="3"/>
  <c r="M17" i="3" a="1"/>
  <c r="M17" i="3" s="1"/>
  <c r="M28" i="3"/>
  <c r="G61" i="3"/>
  <c r="G17" i="3" a="1"/>
  <c r="G17" i="3" s="1"/>
  <c r="K23" i="3"/>
  <c r="G28" i="3"/>
  <c r="I17" i="3" a="1"/>
  <c r="I17" i="3" s="1"/>
  <c r="I28" i="3"/>
  <c r="M23" i="3"/>
  <c r="J19" i="3"/>
  <c r="J64" i="3"/>
  <c r="J66" i="3"/>
  <c r="K6" i="3"/>
  <c r="B111" i="4" s="1"/>
  <c r="J60" i="3"/>
  <c r="J18" i="3"/>
  <c r="J59" i="3"/>
  <c r="J63" i="3"/>
  <c r="J65" i="3"/>
  <c r="H17" i="3" a="1"/>
  <c r="H17" i="3" s="1"/>
  <c r="D34" i="3" a="1"/>
  <c r="D34" i="3" s="1"/>
  <c r="D35" i="3" s="1"/>
  <c r="H23" i="3"/>
  <c r="O28" i="3"/>
  <c r="O17" i="3" a="1"/>
  <c r="O17" i="3" s="1"/>
  <c r="O23" i="3"/>
  <c r="F114" i="4" a="1"/>
  <c r="C114" i="4" a="1"/>
  <c r="D114" i="4" a="1"/>
  <c r="E114" i="4" a="1"/>
  <c r="F110" i="4" a="1"/>
  <c r="E110" i="4" a="1"/>
  <c r="D110" i="4" a="1"/>
  <c r="C110" i="4" a="1"/>
  <c r="D107" i="4" a="1"/>
  <c r="E107" i="4" a="1"/>
  <c r="F107" i="4" a="1"/>
  <c r="C107" i="4" a="1"/>
  <c r="C108" i="4" a="1"/>
  <c r="E108" i="4" a="1"/>
  <c r="F108" i="4" a="1"/>
  <c r="D108" i="4" a="1"/>
  <c r="D112" i="4" a="1"/>
  <c r="C112" i="4" a="1"/>
  <c r="F112" i="4" a="1"/>
  <c r="E112" i="4" a="1"/>
  <c r="F115" i="4" a="1"/>
  <c r="E115" i="4" a="1"/>
  <c r="D115" i="4" a="1"/>
  <c r="C115" i="4" a="1"/>
  <c r="D109" i="4" a="1"/>
  <c r="C109" i="4" a="1"/>
  <c r="E109" i="4" a="1"/>
  <c r="F109" i="4" a="1"/>
  <c r="E113" i="4" a="1"/>
  <c r="C113" i="4" a="1"/>
  <c r="D113" i="4" a="1"/>
  <c r="F113" i="4" a="1"/>
  <c r="E114" i="4" l="1"/>
  <c r="D114" i="4"/>
  <c r="C114" i="4"/>
  <c r="F114" i="4"/>
  <c r="F113" i="4"/>
  <c r="D113" i="4"/>
  <c r="C113" i="4"/>
  <c r="E113" i="4"/>
  <c r="F109" i="4"/>
  <c r="E109" i="4"/>
  <c r="C109" i="4"/>
  <c r="D109" i="4"/>
  <c r="C115" i="4"/>
  <c r="D115" i="4"/>
  <c r="E115" i="4"/>
  <c r="F115" i="4"/>
  <c r="E112" i="4"/>
  <c r="F112" i="4"/>
  <c r="C112" i="4"/>
  <c r="D112" i="4"/>
  <c r="D108" i="4"/>
  <c r="F108" i="4"/>
  <c r="E108" i="4"/>
  <c r="C108" i="4"/>
  <c r="C107" i="4"/>
  <c r="F107" i="4"/>
  <c r="E107" i="4"/>
  <c r="D107" i="4"/>
  <c r="C110" i="4"/>
  <c r="D110" i="4"/>
  <c r="E110" i="4"/>
  <c r="F110" i="4"/>
  <c r="D28" i="3"/>
  <c r="D23" i="3"/>
  <c r="J67" i="3"/>
  <c r="J24" i="3"/>
  <c r="J29" i="3"/>
  <c r="D50" i="3"/>
  <c r="H59" i="3" s="1"/>
  <c r="H61" i="3" s="1"/>
  <c r="D37" i="3" a="1"/>
  <c r="D37" i="3" s="1"/>
  <c r="D48" i="3"/>
  <c r="K57" i="3" s="1"/>
  <c r="D36" i="3" a="1"/>
  <c r="D36" i="3" s="1"/>
  <c r="D49" i="3"/>
  <c r="K58" i="3" s="1"/>
  <c r="D51" i="3"/>
  <c r="I60" i="3" s="1"/>
  <c r="K66" i="3"/>
  <c r="K64" i="3"/>
  <c r="K19" i="3"/>
  <c r="K63" i="3"/>
  <c r="K18" i="3"/>
  <c r="K60" i="3"/>
  <c r="L6" i="3"/>
  <c r="B112" i="4" s="1"/>
  <c r="K59" i="3"/>
  <c r="K65" i="3"/>
  <c r="D26" i="4" a="1"/>
  <c r="D25" i="4" a="1"/>
  <c r="D25" i="4" l="1"/>
  <c r="D26" i="4"/>
  <c r="L63" i="3"/>
  <c r="L59" i="3"/>
  <c r="L57" i="3"/>
  <c r="L66" i="3"/>
  <c r="L64" i="3"/>
  <c r="L19" i="3"/>
  <c r="L65" i="3"/>
  <c r="L18" i="3"/>
  <c r="L58" i="3"/>
  <c r="M6" i="3"/>
  <c r="B113" i="4" s="1"/>
  <c r="L60" i="3"/>
  <c r="I58" i="3"/>
  <c r="J58" i="3"/>
  <c r="K67" i="3"/>
  <c r="K29" i="3"/>
  <c r="K24" i="3"/>
  <c r="K61" i="3"/>
  <c r="I57" i="3"/>
  <c r="J57" i="3"/>
  <c r="I61" i="3" l="1"/>
  <c r="J61" i="3"/>
  <c r="M19" i="3"/>
  <c r="M66" i="3"/>
  <c r="M64" i="3"/>
  <c r="M58" i="3"/>
  <c r="M60" i="3"/>
  <c r="M18" i="3"/>
  <c r="M65" i="3"/>
  <c r="M59" i="3"/>
  <c r="N6" i="3"/>
  <c r="B114" i="4" s="1"/>
  <c r="M57" i="3"/>
  <c r="M63" i="3"/>
  <c r="L67" i="3"/>
  <c r="L29" i="3"/>
  <c r="L24" i="3"/>
  <c r="L61" i="3"/>
  <c r="M61" i="3" l="1"/>
  <c r="M67" i="3"/>
  <c r="M24" i="3"/>
  <c r="M29" i="3"/>
  <c r="N58" i="3"/>
  <c r="N64" i="3"/>
  <c r="N60" i="3"/>
  <c r="O6" i="3"/>
  <c r="B115" i="4" s="1"/>
  <c r="N19" i="3"/>
  <c r="N57" i="3"/>
  <c r="N59" i="3"/>
  <c r="N66" i="3"/>
  <c r="N65" i="3"/>
  <c r="N63" i="3"/>
  <c r="N18" i="3"/>
  <c r="N61" i="3" l="1"/>
  <c r="N29" i="3"/>
  <c r="N24" i="3"/>
  <c r="N67" i="3"/>
  <c r="O19" i="3"/>
  <c r="O63" i="3"/>
  <c r="O65" i="3"/>
  <c r="O57" i="3"/>
  <c r="O61" i="3" s="1"/>
  <c r="O64" i="3"/>
  <c r="O18" i="3"/>
  <c r="P6" i="3"/>
  <c r="B116" i="4" s="1"/>
  <c r="O59" i="3"/>
  <c r="O60" i="3"/>
  <c r="O66" i="3"/>
  <c r="O58" i="3"/>
  <c r="P59" i="3" l="1"/>
  <c r="P19" i="3"/>
  <c r="P18" i="3"/>
  <c r="P66" i="3"/>
  <c r="P63" i="3"/>
  <c r="P60" i="3"/>
  <c r="P58" i="3"/>
  <c r="P65" i="3"/>
  <c r="P57" i="3"/>
  <c r="P64" i="3"/>
  <c r="O29" i="3"/>
  <c r="O67" i="3"/>
  <c r="O24" i="3"/>
  <c r="P61" i="3" l="1"/>
  <c r="D61" i="3" s="1"/>
  <c r="D72" i="3" a="1"/>
  <c r="D72" i="3" s="1"/>
  <c r="D73" i="3" a="1"/>
  <c r="D73" i="3" s="1"/>
  <c r="P24" i="3"/>
  <c r="P29" i="3"/>
  <c r="P67" i="3"/>
  <c r="D74" i="3" a="1"/>
  <c r="D74" i="3" s="1"/>
  <c r="D75" i="4" a="1"/>
  <c r="D103" i="4" a="1"/>
  <c r="D98" i="4" a="1"/>
  <c r="D99" i="4" a="1"/>
  <c r="D84" i="4" a="1"/>
  <c r="D72" i="4" a="1"/>
  <c r="D58" i="4" a="1"/>
  <c r="D57" i="4" a="1"/>
  <c r="D80" i="4" a="1"/>
  <c r="D66" i="4" a="1"/>
  <c r="D102" i="4" a="1"/>
  <c r="D97" i="4" a="1"/>
  <c r="D76" i="4" a="1"/>
  <c r="D61" i="4" a="1"/>
  <c r="D55" i="4" a="1"/>
  <c r="D70" i="4" a="1"/>
  <c r="D89" i="4" a="1"/>
  <c r="D93" i="4" a="1"/>
  <c r="D65" i="4" a="1"/>
  <c r="D71" i="4" a="1"/>
  <c r="D94" i="4" a="1"/>
  <c r="D73" i="4" a="1"/>
  <c r="D104" i="4" a="1"/>
  <c r="E13" i="4" a="1"/>
  <c r="D78" i="4" a="1"/>
  <c r="D22" i="4" a="1"/>
  <c r="D77" i="4" a="1"/>
  <c r="D60" i="4" a="1"/>
  <c r="D68" i="4" a="1"/>
  <c r="D87" i="4" a="1"/>
  <c r="D59" i="4" a="1"/>
  <c r="D82" i="4" a="1"/>
  <c r="D100" i="4" a="1"/>
  <c r="D74" i="4" a="1"/>
  <c r="F13" i="4" a="1"/>
  <c r="D56" i="4" a="1"/>
  <c r="D62" i="4" a="1"/>
  <c r="D13" i="4" a="1"/>
  <c r="D91" i="4" a="1"/>
  <c r="D63" i="4" a="1"/>
  <c r="D69" i="4" a="1"/>
  <c r="D101" i="4" a="1"/>
  <c r="D79" i="4" a="1"/>
  <c r="D88" i="4" a="1"/>
  <c r="D83" i="4" a="1"/>
  <c r="D81" i="4" a="1"/>
  <c r="D92" i="4" a="1"/>
  <c r="D86" i="4" a="1"/>
  <c r="G13" i="4" a="1"/>
  <c r="D85" i="4" a="1"/>
  <c r="D64" i="4" a="1"/>
  <c r="D96" i="4" a="1"/>
  <c r="D95" i="4" a="1"/>
  <c r="D67" i="4" a="1"/>
  <c r="D90" i="4" a="1"/>
  <c r="E73" i="4" a="1"/>
  <c r="E72" i="4" a="1"/>
  <c r="E67" i="4" a="1"/>
  <c r="E78" i="4" a="1"/>
  <c r="E100" i="4" a="1"/>
  <c r="E104" i="4" a="1"/>
  <c r="E99" i="4" a="1"/>
  <c r="E102" i="4" a="1"/>
  <c r="E81" i="4" a="1"/>
  <c r="E103" i="4" a="1"/>
  <c r="E65" i="4" a="1"/>
  <c r="E71" i="4" a="1"/>
  <c r="E74" i="4" a="1"/>
  <c r="E75" i="4" a="1"/>
  <c r="E57" i="4" a="1"/>
  <c r="E64" i="4" a="1"/>
  <c r="E61" i="4" a="1"/>
  <c r="E70" i="4" a="1"/>
  <c r="E69" i="4" a="1"/>
  <c r="E68" i="4" a="1"/>
  <c r="E86" i="4" a="1"/>
  <c r="E85" i="4" a="1"/>
  <c r="E84" i="4" a="1"/>
  <c r="E79" i="4" a="1"/>
  <c r="G14" i="4" a="1"/>
  <c r="E89" i="4" a="1"/>
  <c r="E76" i="4" a="1"/>
  <c r="E14" i="4" a="1"/>
  <c r="E88" i="4" a="1"/>
  <c r="E83" i="4" a="1"/>
  <c r="E58" i="4" a="1"/>
  <c r="E90" i="4" a="1"/>
  <c r="E93" i="4" a="1"/>
  <c r="E80" i="4" a="1"/>
  <c r="D21" i="4" a="1"/>
  <c r="E55" i="4" a="1"/>
  <c r="E87" i="4" a="1"/>
  <c r="E82" i="4" a="1"/>
  <c r="E97" i="4" a="1"/>
  <c r="E94" i="4" a="1"/>
  <c r="E56" i="4" a="1"/>
  <c r="F14" i="4" a="1"/>
  <c r="E77" i="4" a="1"/>
  <c r="E62" i="4" a="1"/>
  <c r="E101" i="4" a="1"/>
  <c r="E92" i="4" a="1"/>
  <c r="E59" i="4" a="1"/>
  <c r="E91" i="4" a="1"/>
  <c r="E66" i="4" a="1"/>
  <c r="E98" i="4" a="1"/>
  <c r="D14" i="4" a="1"/>
  <c r="E96" i="4" a="1"/>
  <c r="E60" i="4" a="1"/>
  <c r="E63" i="4" a="1"/>
  <c r="E95" i="4" a="1"/>
  <c r="F65" i="4" a="1"/>
  <c r="F73" i="4" a="1"/>
  <c r="F77" i="4" a="1"/>
  <c r="F66" i="4" a="1"/>
  <c r="F78" i="4" a="1"/>
  <c r="B6" i="4" a="1"/>
  <c r="F80" i="4" a="1"/>
  <c r="F74" i="4" a="1"/>
  <c r="F58" i="4" a="1"/>
  <c r="F83" i="4" a="1"/>
  <c r="F79" i="4" a="1"/>
  <c r="E15" i="4" a="1"/>
  <c r="F88" i="4" a="1"/>
  <c r="F90" i="4" a="1"/>
  <c r="G15" i="4" a="1"/>
  <c r="F84" i="4" a="1"/>
  <c r="F62" i="4" a="1"/>
  <c r="F76" i="4" a="1"/>
  <c r="F101" i="4" a="1"/>
  <c r="D15" i="4" a="1"/>
  <c r="F69" i="4" a="1"/>
  <c r="F61" i="4" a="1"/>
  <c r="F55" i="4" a="1"/>
  <c r="F56" i="4" a="1"/>
  <c r="F81" i="4" a="1"/>
  <c r="F87" i="4" a="1"/>
  <c r="F72" i="4" a="1"/>
  <c r="F100" i="4" a="1"/>
  <c r="F68" i="4" a="1"/>
  <c r="F102" i="4" a="1"/>
  <c r="F93" i="4" a="1"/>
  <c r="F70" i="4" a="1"/>
  <c r="F99" i="4" a="1"/>
  <c r="F67" i="4" a="1"/>
  <c r="F15" i="4" a="1"/>
  <c r="F104" i="4" a="1"/>
  <c r="F97" i="4" a="1"/>
  <c r="F98" i="4" a="1"/>
  <c r="F89" i="4" a="1"/>
  <c r="F95" i="4" a="1"/>
  <c r="F75" i="4" a="1"/>
  <c r="F57" i="4" a="1"/>
  <c r="F86" i="4" a="1"/>
  <c r="F103" i="4" a="1"/>
  <c r="F71" i="4" a="1"/>
  <c r="F96" i="4" a="1"/>
  <c r="F64" i="4" a="1"/>
  <c r="D20" i="4" a="1"/>
  <c r="F63" i="4" a="1"/>
  <c r="F92" i="4" a="1"/>
  <c r="F60" i="4" a="1"/>
  <c r="F94" i="4" a="1"/>
  <c r="F85" i="4" a="1"/>
  <c r="F82" i="4" a="1"/>
  <c r="F91" i="4" a="1"/>
  <c r="F59" i="4" a="1"/>
  <c r="F59" i="4" l="1"/>
  <c r="F91" i="4"/>
  <c r="F82" i="4"/>
  <c r="F85" i="4"/>
  <c r="F94" i="4"/>
  <c r="F60" i="4"/>
  <c r="F92" i="4"/>
  <c r="F63" i="4"/>
  <c r="D20" i="4"/>
  <c r="F64" i="4"/>
  <c r="F96" i="4"/>
  <c r="F71" i="4"/>
  <c r="F103" i="4"/>
  <c r="F86" i="4"/>
  <c r="F57" i="4"/>
  <c r="F75" i="4"/>
  <c r="F95" i="4"/>
  <c r="F89" i="4"/>
  <c r="F98" i="4"/>
  <c r="F97" i="4"/>
  <c r="F104" i="4"/>
  <c r="F15" i="4"/>
  <c r="F67" i="4"/>
  <c r="F99" i="4"/>
  <c r="F70" i="4"/>
  <c r="F93" i="4"/>
  <c r="F102" i="4"/>
  <c r="F68" i="4"/>
  <c r="F100" i="4"/>
  <c r="F72" i="4"/>
  <c r="F87" i="4"/>
  <c r="F81" i="4"/>
  <c r="F56" i="4"/>
  <c r="F55" i="4"/>
  <c r="F61" i="4"/>
  <c r="F69" i="4"/>
  <c r="D15" i="4"/>
  <c r="F101" i="4"/>
  <c r="F76" i="4"/>
  <c r="F62" i="4"/>
  <c r="F84" i="4"/>
  <c r="G15" i="4"/>
  <c r="F90" i="4"/>
  <c r="F88" i="4"/>
  <c r="E15" i="4"/>
  <c r="F79" i="4"/>
  <c r="F83" i="4"/>
  <c r="F58" i="4"/>
  <c r="F74" i="4"/>
  <c r="F80" i="4"/>
  <c r="B6" i="4"/>
  <c r="F78" i="4"/>
  <c r="F66" i="4"/>
  <c r="F77" i="4"/>
  <c r="F73" i="4"/>
  <c r="F65" i="4"/>
  <c r="E95" i="4"/>
  <c r="E63" i="4"/>
  <c r="E60" i="4"/>
  <c r="E96" i="4"/>
  <c r="D14" i="4"/>
  <c r="E98" i="4"/>
  <c r="E66" i="4"/>
  <c r="E91" i="4"/>
  <c r="E59" i="4"/>
  <c r="E92" i="4"/>
  <c r="E101" i="4"/>
  <c r="E62" i="4"/>
  <c r="E77" i="4"/>
  <c r="F14" i="4"/>
  <c r="E56" i="4"/>
  <c r="E94" i="4"/>
  <c r="E97" i="4"/>
  <c r="E82" i="4"/>
  <c r="E87" i="4"/>
  <c r="E55" i="4"/>
  <c r="D21" i="4"/>
  <c r="E80" i="4"/>
  <c r="E93" i="4"/>
  <c r="E90" i="4"/>
  <c r="E58" i="4"/>
  <c r="E83" i="4"/>
  <c r="E88" i="4"/>
  <c r="E14" i="4"/>
  <c r="E76" i="4"/>
  <c r="E89" i="4"/>
  <c r="G14" i="4"/>
  <c r="E79" i="4"/>
  <c r="E84" i="4"/>
  <c r="E85" i="4"/>
  <c r="E86" i="4"/>
  <c r="E68" i="4"/>
  <c r="E69" i="4"/>
  <c r="E70" i="4"/>
  <c r="E61" i="4"/>
  <c r="E64" i="4"/>
  <c r="E57" i="4"/>
  <c r="E75" i="4"/>
  <c r="E74" i="4"/>
  <c r="E71" i="4"/>
  <c r="E65" i="4"/>
  <c r="E103" i="4"/>
  <c r="E81" i="4"/>
  <c r="E102" i="4"/>
  <c r="E99" i="4"/>
  <c r="E104" i="4"/>
  <c r="E100" i="4"/>
  <c r="E78" i="4"/>
  <c r="E67" i="4"/>
  <c r="E72" i="4"/>
  <c r="E73" i="4"/>
  <c r="D90" i="4"/>
  <c r="D67" i="4"/>
  <c r="D95" i="4"/>
  <c r="D96" i="4"/>
  <c r="D64" i="4"/>
  <c r="D85" i="4"/>
  <c r="G13" i="4"/>
  <c r="D86" i="4"/>
  <c r="D92" i="4"/>
  <c r="D81" i="4"/>
  <c r="D83" i="4"/>
  <c r="D88" i="4"/>
  <c r="D79" i="4"/>
  <c r="D101" i="4"/>
  <c r="D69" i="4"/>
  <c r="D63" i="4"/>
  <c r="D91" i="4"/>
  <c r="D13" i="4"/>
  <c r="D62" i="4"/>
  <c r="D56" i="4"/>
  <c r="F13" i="4"/>
  <c r="D74" i="4"/>
  <c r="D100" i="4"/>
  <c r="D82" i="4"/>
  <c r="D59" i="4"/>
  <c r="D87" i="4"/>
  <c r="D68" i="4"/>
  <c r="D60" i="4"/>
  <c r="D77" i="4"/>
  <c r="D22" i="4"/>
  <c r="D78" i="4"/>
  <c r="E13" i="4"/>
  <c r="D104" i="4"/>
  <c r="D73" i="4"/>
  <c r="D94" i="4"/>
  <c r="D71" i="4"/>
  <c r="D65" i="4"/>
  <c r="D93" i="4"/>
  <c r="D89" i="4"/>
  <c r="D70" i="4"/>
  <c r="D55" i="4"/>
  <c r="D61" i="4"/>
  <c r="D76" i="4"/>
  <c r="D97" i="4"/>
  <c r="D102" i="4"/>
  <c r="D66" i="4"/>
  <c r="D80" i="4"/>
  <c r="D57" i="4"/>
  <c r="D58" i="4"/>
  <c r="D72" i="4"/>
  <c r="D84" i="4"/>
  <c r="D99" i="4"/>
  <c r="D98" i="4"/>
  <c r="D103" i="4"/>
  <c r="D75" i="4"/>
  <c r="D67" i="3"/>
  <c r="D77" i="3"/>
  <c r="C15" i="4" s="1"/>
  <c r="D76" i="3"/>
  <c r="C14" i="4" s="1"/>
  <c r="D29" i="3"/>
  <c r="D75" i="3"/>
  <c r="C13" i="4" s="1"/>
  <c r="D24" i="3"/>
  <c r="D23" i="4" l="1"/>
  <c r="D2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<sst xmlns="http://schemas.openxmlformats.org/spreadsheetml/2006/main" count="373" uniqueCount="259">
  <si>
    <t>Real Options: Expand or Abandon</t>
  </si>
  <si>
    <t>ModelRisk example  ·  Corporate finance  ·  CF-08</t>
  </si>
  <si>
    <t>Build big now, or start small and decide later?  The value of flexibility when demand is uncertain.</t>
  </si>
  <si>
    <t>Next:  Inputs  ▸</t>
  </si>
  <si>
    <t>Model card</t>
  </si>
  <si>
    <t>Industry</t>
  </si>
  <si>
    <t>Corporate finance</t>
  </si>
  <si>
    <t>Difficulty</t>
  </si>
  <si>
    <t>★★★★★   Three investment strategies on the same simulated demand paths; a decision rule to expand or abandon applied inside every iteration.</t>
  </si>
  <si>
    <t>Business question</t>
  </si>
  <si>
    <t>A company is entering a new market. It can build a large plant now, or a small one that it can expand after two years if demand is strong, or sell off if demand is weak. The business case, on the expected demand, favours the large plant. Which strategy is worth most once the uncertainty in demand is taken into account, and what is the flexibility worth?</t>
  </si>
  <si>
    <t>Who it is for</t>
  </si>
  <si>
    <t>Strategy and corporate development teams, capital allocation committees, project sponsors.</t>
  </si>
  <si>
    <t>Main outputs</t>
  </si>
  <si>
    <t>NPV of each strategy: the business case against the simulation, its range and the chance of a loss · the value of the options to expand and abandon · how often each decision is taken · the range of demand.</t>
  </si>
  <si>
    <t>ModelRisk techniques</t>
  </si>
  <si>
    <t>Demand as geometric Brownian motion (VoseTimeGBM) · three strategies on the same demand paths (common random numbers) · decision rules applied inside every iteration (real options) · S-curves of NPV and a fan chart of demand.</t>
  </si>
  <si>
    <t>File</t>
  </si>
  <si>
    <t>CF-08 Real options expand or abandon  ·  Version 1.0  ·  October 2026  ·  built with ModelRisk 10</t>
  </si>
  <si>
    <t>The business question</t>
  </si>
  <si>
    <t>A manufacturer is entering a new market where demand is about 100,000 units a year, growing about 3% a year but very uncertain. It can build a plant for 120,000 units now for US$90 million, or a 60,000-unit plant for US$55 million. The small plant can be doubled at the start of year 3 for US$40 million, once two years of sales have shown whether demand is strong; if demand collapses, it can be sold for US$35 million instead. On the expected demand, the large plant has much the higher NPV, and the business case recommends it. But the large plant's capacity is only valuable if demand grows, and its cost is sunk if it does not. The model simulates ten years of demand and values the three strategies on the same paths, with the decision rule of the staged strategy applied in every iteration.</t>
  </si>
  <si>
    <t>How the model works</t>
  </si>
  <si>
    <t>Three sheets after this one, read from left to right. Each one feeds the next.</t>
  </si>
  <si>
    <t>1  Inputs</t>
  </si>
  <si>
    <t>Today's demand, its growth and volatility; contribution per unit; each plant's capacity, cost and fixed costs; the expansion cost and the sale value; the demand levels at which to expand or to sell; the discount rate.</t>
  </si>
  <si>
    <t>2  Strategies</t>
  </si>
  <si>
    <t>VoseTimeGBM draws ten years of demand. Each strategy sells what demand and its capacity allow. The staged strategy looks at year-2 demand: above the expansion level it doubles capacity from year 3, below the abandonment level it sells the plant at the end of year 2, otherwise it carries on.</t>
  </si>
  <si>
    <t>3  Results</t>
  </si>
  <si>
    <t>Each strategy's NPV on the business-case demand and in the simulation, its range and chance of a loss; the value of the options; how often the plant is expanded or sold.</t>
  </si>
  <si>
    <t>How to use it</t>
  </si>
  <si>
    <t>Step 1</t>
  </si>
  <si>
    <t>Enter your market, plant options and costs on the Inputs sheet.</t>
  </si>
  <si>
    <t>Step 2</t>
  </si>
  <si>
    <t>Press F9 on the Strategies sheet to watch the three strategies play out on the same demand.</t>
  </si>
  <si>
    <t>Step 3</t>
  </si>
  <si>
    <t>Run a simulation from the ModelRisk ribbon (10,000 samples with a fixed seed are set).</t>
  </si>
  <si>
    <t>Step 4</t>
  </si>
  <si>
    <t>Change the decision rules (the expansion and abandonment levels) and run again to find the best ones.</t>
  </si>
  <si>
    <t>Workbook map</t>
  </si>
  <si>
    <t>Inputs</t>
  </si>
  <si>
    <t>Market, plants, expansion and sale, decision rules, discount rate.</t>
  </si>
  <si>
    <t>Strategies</t>
  </si>
  <si>
    <t>Demand, and each strategy's capacity, sales and cash flow by year; outputs and checks.</t>
  </si>
  <si>
    <t>Results</t>
  </si>
  <si>
    <t>NPV comparison, value of flexibility, decisions, demand fan chart.</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</si>
  <si>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</si>
  <si>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</si>
  <si>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</si>
  <si>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</si>
  <si>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</si>
  <si>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</si>
  <si>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</si>
  <si>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</si>
  <si>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</si>
  <si>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</si>
  <si>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</si>
  <si>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</si>
  <si>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</si>
  <si>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today's prices; contribution in US$ per unit.</t>
  </si>
  <si>
    <t>Demand</t>
  </si>
  <si>
    <t>Thousand units a year.</t>
  </si>
  <si>
    <t>Years</t>
  </si>
  <si>
    <t>Year 0 is the investment; cash flows at the end of years 1 to 10.</t>
  </si>
  <si>
    <t>Business case</t>
  </si>
  <si>
    <t>The same calculation with demand growing exactly at its expected rate.</t>
  </si>
  <si>
    <t>Key assumptions and limitations</t>
  </si>
  <si>
    <t>Geometric Brownian motion: growth is persistent and the range widens every year.</t>
  </si>
  <si>
    <t>Decisions</t>
  </si>
  <si>
    <t>Taken once, at the end of year 2, on year-2 demand; the expansion is ready for year 3.</t>
  </si>
  <si>
    <t>Plants</t>
  </si>
  <si>
    <t>No residual value after year 10; fixed costs stop when the plant is sold.</t>
  </si>
  <si>
    <t>Data</t>
  </si>
  <si>
    <t>The company and all figures are invented for this example.</t>
  </si>
  <si>
    <t>ModelRisk functions used</t>
  </si>
  <si>
    <t>VoseTimeGBM</t>
  </si>
  <si>
    <t>Ten years of demand: a growing, uncertain, persistent series.</t>
  </si>
  <si>
    <t>VoseOutput</t>
  </si>
  <si>
    <t>The NPV of each strategy, the decisions and the demand of every year as outputs.</t>
  </si>
  <si>
    <t>VoseSimMean, VoseSimPercentile, VoseSimProbability</t>
  </si>
  <si>
    <t>Statistics of the simulation for the tables and charts on the Results sheet.</t>
  </si>
  <si>
    <t>Further reading</t>
  </si>
  <si>
    <t>Real options</t>
  </si>
  <si>
    <t>Dixit, A. K. &amp; Pindyck, R. S. (1994). Investment under Uncertainty. Princeton University Press.</t>
  </si>
  <si>
    <t>Flexibility</t>
  </si>
  <si>
    <t>de Neufville, R. &amp; Scholtes, S. (2011). Flexibility in Engineering Design. MIT Press.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</si>
  <si>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</si>
  <si>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</si>
  <si>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</si>
  <si>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Strategies  ▸</t>
  </si>
  <si>
    <t>How to read this sheet:  yellow cells are inputs.</t>
  </si>
  <si>
    <t>1   Market</t>
  </si>
  <si>
    <t>Demand for the product and what each unit earns.</t>
  </si>
  <si>
    <t>Assumption</t>
  </si>
  <si>
    <t>Unit</t>
  </si>
  <si>
    <t>Value in model</t>
  </si>
  <si>
    <t>Uncertainty</t>
  </si>
  <si>
    <t>Basis / source (illustrative)</t>
  </si>
  <si>
    <t>Demand today</t>
  </si>
  <si>
    <t>thousand units / year</t>
  </si>
  <si>
    <t>Fixed</t>
  </si>
  <si>
    <t>Market study.</t>
  </si>
  <si>
    <t>Expected demand growth</t>
  </si>
  <si>
    <t>per year</t>
  </si>
  <si>
    <t>Volatility of demand</t>
  </si>
  <si>
    <t>A new market: demand could double or halve within a few years.</t>
  </si>
  <si>
    <t>Contribution per unit</t>
  </si>
  <si>
    <t>US$ per unit</t>
  </si>
  <si>
    <t>Price less variable cost.</t>
  </si>
  <si>
    <t>2   Plants</t>
  </si>
  <si>
    <t>The two plant sizes, the expansion and the sale.</t>
  </si>
  <si>
    <t>Large plant: capacity</t>
  </si>
  <si>
    <t>Large plant: investment</t>
  </si>
  <si>
    <t>US$m</t>
  </si>
  <si>
    <t>Large plant: fixed costs</t>
  </si>
  <si>
    <t>US$m / year</t>
  </si>
  <si>
    <t>Small plant: capacity</t>
  </si>
  <si>
    <t>Small plant: investment</t>
  </si>
  <si>
    <t>Small plant: fixed costs</t>
  </si>
  <si>
    <t>Expansion to the large plant's capacity</t>
  </si>
  <si>
    <t>Paid the year after the decision; the doubled plant has the large plant's fixed costs.</t>
  </si>
  <si>
    <t>Sale of the small plant</t>
  </si>
  <si>
    <t>Received at the end of the decision year.</t>
  </si>
  <si>
    <t>3   Decision rules</t>
  </si>
  <si>
    <t>Applied to the staged strategy at the end of the decision year.</t>
  </si>
  <si>
    <t>Decide at the end of year</t>
  </si>
  <si>
    <t>year</t>
  </si>
  <si>
    <t>After two years of sales; an expansion is ready the year after.</t>
  </si>
  <si>
    <t>Expand if demand in the decision year is at least</t>
  </si>
  <si>
    <t>thousand units</t>
  </si>
  <si>
    <t>Sell the plant if demand in the decision year is at most</t>
  </si>
  <si>
    <t>4   Finance</t>
  </si>
  <si>
    <t>Discount rate</t>
  </si>
  <si>
    <t>Cost of capital, real.</t>
  </si>
  <si>
    <t>STRATEGIES   ·   Ten years of demand, and each strategy's sales and cash flow on that demand (US$m).</t>
  </si>
  <si>
    <t>◂  Inputs</t>
  </si>
  <si>
    <t>Next:  Results  ▸</t>
  </si>
  <si>
    <t>Year</t>
  </si>
  <si>
    <t>Total</t>
  </si>
  <si>
    <t>1   This iteration's single values</t>
  </si>
  <si>
    <t>Quantity</t>
  </si>
  <si>
    <t>Value</t>
  </si>
  <si>
    <t>How it is calculated</t>
  </si>
  <si>
    <t>Drift of log demand</t>
  </si>
  <si>
    <t>Keeps the expected demand growing at the expected rate</t>
  </si>
  <si>
    <t>Contribution per thousand units</t>
  </si>
  <si>
    <t>2   Demand</t>
  </si>
  <si>
    <t>VoseTimeGBM: ten years of demand, the same for all three strategies.</t>
  </si>
  <si>
    <t>Demand  (output, for the fan chart)</t>
  </si>
  <si>
    <t>Business-case demand  (growing at the expected rate)</t>
  </si>
  <si>
    <t>Discount factor</t>
  </si>
  <si>
    <t>3   Strategy A: build big now</t>
  </si>
  <si>
    <t>Capacity</t>
  </si>
  <si>
    <t>Cash flow</t>
  </si>
  <si>
    <t>Cash flow, business case</t>
  </si>
  <si>
    <t>4   Strategy B: build small, stay small</t>
  </si>
  <si>
    <t>5   Strategy C: build small, decide later</t>
  </si>
  <si>
    <t>At the end of the decision year: expand if demand is at least the expansion level, sell if it is at most the abandonment level, otherwise carry on.</t>
  </si>
  <si>
    <t>Demand in the decision year</t>
  </si>
  <si>
    <t>The demand row, at the decision year</t>
  </si>
  <si>
    <t>Decision</t>
  </si>
  <si>
    <t>The rule on the Inputs sheet</t>
  </si>
  <si>
    <t>Expand?  (1 = yes)</t>
  </si>
  <si>
    <t>1 / 0</t>
  </si>
  <si>
    <t>Sell the plant?  (1 = yes)</t>
  </si>
  <si>
    <t>Business case: demand in the decision year</t>
  </si>
  <si>
    <t>The business-case demand row</t>
  </si>
  <si>
    <t>Business case: decision</t>
  </si>
  <si>
    <t>The same rule. As shipped it never fires: demand of 106 lies between the two levels</t>
  </si>
  <si>
    <t>What each decision means</t>
  </si>
  <si>
    <t>Fixed costs</t>
  </si>
  <si>
    <t>Cash</t>
  </si>
  <si>
    <t>Invest</t>
  </si>
  <si>
    <t>after</t>
  </si>
  <si>
    <t>at the decision</t>
  </si>
  <si>
    <t>the year after</t>
  </si>
  <si>
    <t>Carry on</t>
  </si>
  <si>
    <t>Expand</t>
  </si>
  <si>
    <t>Sell</t>
  </si>
  <si>
    <t>This iteration: capacity after the decision</t>
  </si>
  <si>
    <t>From the table, for the decision</t>
  </si>
  <si>
    <t>This iteration: fixed costs after the decision</t>
  </si>
  <si>
    <t>This iteration: cash at the decision</t>
  </si>
  <si>
    <t>This iteration: investment the year after</t>
  </si>
  <si>
    <t>Business case: capacity after the decision</t>
  </si>
  <si>
    <t>Business case: fixed costs after the decision</t>
  </si>
  <si>
    <t>Business case: cash at the decision</t>
  </si>
  <si>
    <t>Business case: investment the year after</t>
  </si>
  <si>
    <t>Sale of the plant</t>
  </si>
  <si>
    <t>Expansion</t>
  </si>
  <si>
    <t>Business case: capacity</t>
  </si>
  <si>
    <t>Business case: fixed costs</t>
  </si>
  <si>
    <t>Business case: sale of the plant</t>
  </si>
  <si>
    <t>Business case: expansion</t>
  </si>
  <si>
    <t>Business case: cash flow</t>
  </si>
  <si>
    <t>6   Value in this iteration</t>
  </si>
  <si>
    <t>Key outputs, recorded by ModelRisk at every sample (VoseOutput). Their statistics appear on the Results sheet.</t>
  </si>
  <si>
    <t>Output</t>
  </si>
  <si>
    <t>Meaning</t>
  </si>
  <si>
    <t>NPV: build big now</t>
  </si>
  <si>
    <t>NPV: build small, stay small</t>
  </si>
  <si>
    <t>NPV: build small, decide later</t>
  </si>
  <si>
    <t>Business case NPV: build big now</t>
  </si>
  <si>
    <t>Demand growing exactly at its expected rate.</t>
  </si>
  <si>
    <t>Business case NPV: build small</t>
  </si>
  <si>
    <t>Business case NPV: build small, decide later</t>
  </si>
  <si>
    <t>The decision rule applied to the business-case demand.</t>
  </si>
  <si>
    <t>7   Model checks</t>
  </si>
  <si>
    <t>Should all read OK. A CHECK means an input has been set outside the range the model is built for.</t>
  </si>
  <si>
    <t>The expansion level is above the abandonment level</t>
  </si>
  <si>
    <t>The large plant is larger than the small one</t>
  </si>
  <si>
    <t>RESULTS   ·   Filled in automatically from the last simulation. Run a simulation after changing any input.</t>
  </si>
  <si>
    <t>◂  Strategies</t>
  </si>
  <si>
    <t>1   Which strategy?</t>
  </si>
  <si>
    <t>NPV of each strategy — cumulative probability</t>
  </si>
  <si>
    <t>NPV (US$m) on the business-case demand and over the simulated futures.</t>
  </si>
  <si>
    <t>Strategy</t>
  </si>
  <si>
    <t>Business</t>
  </si>
  <si>
    <t>Mean</t>
  </si>
  <si>
    <t>10th pct</t>
  </si>
  <si>
    <t>90th pct</t>
  </si>
  <si>
    <t>Chance</t>
  </si>
  <si>
    <t>case</t>
  </si>
  <si>
    <t>simulated</t>
  </si>
  <si>
    <t>of a loss</t>
  </si>
  <si>
    <t>Build big now</t>
  </si>
  <si>
    <t>Build small, stay small</t>
  </si>
  <si>
    <t>Build small, decide later</t>
  </si>
  <si>
    <t>2   The value of flexibility</t>
  </si>
  <si>
    <t>What the options to expand and to sell add, and how often they are used.</t>
  </si>
  <si>
    <t>Measure</t>
  </si>
  <si>
    <t>Mean NPV, build small and decide later</t>
  </si>
  <si>
    <t>Mean NPV, build small and stay small</t>
  </si>
  <si>
    <t>Mean NPV, build big now</t>
  </si>
  <si>
    <t>Value of the options  (decide later − stay small)</t>
  </si>
  <si>
    <t>Value of waiting  (decide later − build big now)</t>
  </si>
  <si>
    <t>Chance the plant is expanded</t>
  </si>
  <si>
    <t>probability</t>
  </si>
  <si>
    <t>Chance the plant is sold</t>
  </si>
  <si>
    <t>Demand by year — 10th to 90th percentile</t>
  </si>
  <si>
    <t>3   How to read these results</t>
  </si>
  <si>
    <t>•  On the business case, demand grows steadily and the large plant fills up: its NPV is far ahead. But demand is uncertain, and the large plant's extra capacity only pays when demand grows. Averaged over the possible futures its NPV is much lower, and the chance of losing money is high.</t>
  </si>
  <si>
    <t>•  Starting small keeps the decision open. If demand is strong after two years, the company expands; if it collapses, it sells. The options turn part of the downside into upside: the staged strategy has the highest mean NPV.</t>
  </si>
  <si>
    <t>•  The value of waiting is not free: expanding later costs more in total than building big at once, and two years of strong demand are lost to the small plant's capacity. The simulation weighs these costs against the protection.</t>
  </si>
  <si>
    <t>•  The decision rules matter. Expanding at too low a demand level, or selling too readily, destroys the options' value: try other levels on the Inputs sheet and run again. The fan chart shows the two levels against the spread of demand.</t>
  </si>
  <si>
    <t>•  On the business case, demand in year 2 is about 106 thousand units: between the two levels, so the plant carries on and neither option is used. The options exist only because demand is uncertain, which is why the business case cannot see their value.</t>
  </si>
  <si>
    <t>Chart data</t>
  </si>
  <si>
    <t>Statistics of the last simulation behind the charts and the ranking above. Grouped: click + in the left margin to show them.</t>
  </si>
  <si>
    <t>Cumulative probability</t>
  </si>
  <si>
    <t>Exceedance</t>
  </si>
  <si>
    <t>NPV_A</t>
  </si>
  <si>
    <t>NPV_B</t>
  </si>
  <si>
    <t>NPV_C</t>
  </si>
  <si>
    <t>Period</t>
  </si>
  <si>
    <t>10th percentile</t>
  </si>
  <si>
    <t>Median</t>
  </si>
  <si>
    <t>90th percentile</t>
  </si>
  <si>
    <t>Expand at or above</t>
  </si>
  <si>
    <t>Sell at or below</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</si>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</sst>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
    <numFmt numFmtId="165" formatCode="0.0%"/>
    <numFmt numFmtId="166" formatCode="#,##0.0_);\(#,##0.0\);&quot;–&quot;_)"/>
    <numFmt numFmtId="167" formatCode="0.000"/>
    <numFmt numFmtId="168" formatCode="#,##0.0_);\(#,##0.0\);&quot;–&quot;_);&quot;–&quot;"/>
    <numFmt numFmtId="169" formatCode="0.0%;\-0.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sz val="8"/>
      <color rgb="FF3F5876"/>
      <name val="Calibri"/>
    </font>
    <font>
      <b/>
      <sz val="10"/>
      <color rgb="FF15803D"/>
      <name val="Calibri"/>
    </font>
    <font>
      <b/>
      <sz val="13"/>
      <color rgb="FF0E4F92"/>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9" fontId="1" fillId="2" borderId="7" xfId="1" applyNumberFormat="1" applyBorder="1">
      <alignment horizontal="right" vertical="center"/>
    </xf>
    <xf numFmtId="166" fontId="1" fillId="2" borderId="7" xfId="1" applyNumberFormat="1" applyBorder="1">
      <alignment horizontal="right" vertical="center"/>
    </xf>
    <xf numFmtId="1" fontId="1" fillId="2" borderId="7" xfId="1"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67" fontId="3" fillId="0" borderId="8" xfId="3" applyNumberFormat="1" applyBorder="1">
      <alignment horizontal="right" vertical="center"/>
    </xf>
    <xf numFmtId="166" fontId="3" fillId="0" borderId="8" xfId="3" applyNumberFormat="1" applyBorder="1">
      <alignment horizontal="right" vertical="center"/>
    </xf>
    <xf numFmtId="166" fontId="2" fillId="3" borderId="7" xfId="2" applyNumberFormat="1" applyBorder="1">
      <alignment horizontal="right" vertical="center"/>
    </xf>
    <xf numFmtId="166" fontId="4" fillId="4" borderId="9" xfId="4" applyNumberFormat="1" applyBorder="1">
      <alignment horizontal="right" vertical="center"/>
    </xf>
    <xf numFmtId="164" fontId="3" fillId="0" borderId="8" xfId="3" applyNumberFormat="1" applyBorder="1">
      <alignment horizontal="right" vertical="center"/>
    </xf>
    <xf numFmtId="0" fontId="12" fillId="0" borderId="6" xfId="0" applyFont="1" applyBorder="1" applyAlignment="1">
      <alignment horizontal="left" vertical="center" indent="1"/>
    </xf>
    <xf numFmtId="166" fontId="12" fillId="0" borderId="8" xfId="3" applyNumberFormat="1" applyFont="1" applyBorder="1">
      <alignment horizontal="right" vertical="center"/>
    </xf>
    <xf numFmtId="0" fontId="3" fillId="0" borderId="8" xfId="3" applyBorder="1">
      <alignment horizontal="right" vertical="center"/>
    </xf>
    <xf numFmtId="1" fontId="4" fillId="4" borderId="9" xfId="4" applyNumberFormat="1" applyBorder="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7" fillId="7" borderId="2" xfId="0" applyFont="1" applyFill="1" applyBorder="1" applyAlignment="1">
      <alignment horizontal="right" vertical="center"/>
    </xf>
    <xf numFmtId="0" fontId="21" fillId="7" borderId="4" xfId="0" applyFont="1" applyFill="1" applyBorder="1" applyAlignment="1">
      <alignment horizontal="right" vertical="center"/>
    </xf>
    <xf numFmtId="0" fontId="22"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5"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8" fontId="1" fillId="5" borderId="7" xfId="5" applyNumberFormat="1" applyBorder="1">
      <alignment horizontal="right" vertical="center"/>
    </xf>
    <xf numFmtId="169" fontId="1" fillId="5" borderId="7" xfId="5" applyNumberFormat="1" applyBorder="1">
      <alignment horizontal="right" vertical="center"/>
    </xf>
    <xf numFmtId="168" fontId="23" fillId="5" borderId="7" xfId="5" applyNumberFormat="1" applyFon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4"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Build big now</c:v>
          </c:tx>
          <c:spPr>
            <a:ln w="25400">
              <a:solidFill>
                <a:srgbClr val="0E4F92"/>
              </a:solidFill>
              <a:prstDash val="solid"/>
            </a:ln>
          </c:spPr>
          <c:marker>
            <c:symbol val="none"/>
          </c:marker>
          <c:xVal>
            <c:numRef>
              <c:f>Results!$D$55:$D$104</c:f>
              <c:numCache>
                <c:formatCode>#,##0.00</c:formatCode>
                <c:ptCount val="50"/>
                <c:pt idx="0">
                  <c:v>-92.088817181684902</c:v>
                </c:pt>
                <c:pt idx="1">
                  <c:v>-78.669986731865947</c:v>
                </c:pt>
                <c:pt idx="2">
                  <c:v>-70.4515916651537</c:v>
                </c:pt>
                <c:pt idx="3">
                  <c:v>-63.462754776496141</c:v>
                </c:pt>
                <c:pt idx="4">
                  <c:v>-58.121346841195255</c:v>
                </c:pt>
                <c:pt idx="5">
                  <c:v>-52.785234549702849</c:v>
                </c:pt>
                <c:pt idx="6">
                  <c:v>-47.903772677857141</c:v>
                </c:pt>
                <c:pt idx="7">
                  <c:v>-43.439415355330084</c:v>
                </c:pt>
                <c:pt idx="8">
                  <c:v>-39.181188886973345</c:v>
                </c:pt>
                <c:pt idx="9">
                  <c:v>-35.002228711059068</c:v>
                </c:pt>
                <c:pt idx="10">
                  <c:v>-30.741723900462176</c:v>
                </c:pt>
                <c:pt idx="11">
                  <c:v>-26.892036970695891</c:v>
                </c:pt>
                <c:pt idx="12">
                  <c:v>-22.289546413868514</c:v>
                </c:pt>
                <c:pt idx="13">
                  <c:v>-18.504310314654912</c:v>
                </c:pt>
                <c:pt idx="14">
                  <c:v>-14.504564542429927</c:v>
                </c:pt>
                <c:pt idx="15">
                  <c:v>-10.664143695448377</c:v>
                </c:pt>
                <c:pt idx="16">
                  <c:v>-6.8763486320506679</c:v>
                </c:pt>
                <c:pt idx="17">
                  <c:v>-2.6509814418700079</c:v>
                </c:pt>
                <c:pt idx="18">
                  <c:v>1.3798662457967339</c:v>
                </c:pt>
                <c:pt idx="19">
                  <c:v>5.0729858108314776</c:v>
                </c:pt>
                <c:pt idx="20">
                  <c:v>8.9502729519556787</c:v>
                </c:pt>
                <c:pt idx="21">
                  <c:v>12.290840532172867</c:v>
                </c:pt>
                <c:pt idx="22">
                  <c:v>15.62620281155959</c:v>
                </c:pt>
                <c:pt idx="23">
                  <c:v>19.379825454023035</c:v>
                </c:pt>
                <c:pt idx="24">
                  <c:v>22.812527784103722</c:v>
                </c:pt>
                <c:pt idx="25">
                  <c:v>26.226321088447161</c:v>
                </c:pt>
                <c:pt idx="26">
                  <c:v>29.154392375766758</c:v>
                </c:pt>
                <c:pt idx="27">
                  <c:v>32.371797790100118</c:v>
                </c:pt>
                <c:pt idx="28">
                  <c:v>35.480375669486975</c:v>
                </c:pt>
                <c:pt idx="29">
                  <c:v>38.526025413231388</c:v>
                </c:pt>
                <c:pt idx="30">
                  <c:v>41.655079592384539</c:v>
                </c:pt>
                <c:pt idx="31">
                  <c:v>44.824787978720103</c:v>
                </c:pt>
                <c:pt idx="32">
                  <c:v>47.762211642238555</c:v>
                </c:pt>
                <c:pt idx="33">
                  <c:v>50.652639392160509</c:v>
                </c:pt>
                <c:pt idx="34">
                  <c:v>53.17023693379992</c:v>
                </c:pt>
                <c:pt idx="35">
                  <c:v>55.639663018740464</c:v>
                </c:pt>
                <c:pt idx="36">
                  <c:v>58.053337440827129</c:v>
                </c:pt>
                <c:pt idx="37">
                  <c:v>60.470584528100041</c:v>
                </c:pt>
                <c:pt idx="38">
                  <c:v>62.851918057844458</c:v>
                </c:pt>
                <c:pt idx="39">
                  <c:v>64.759105633537729</c:v>
                </c:pt>
                <c:pt idx="40">
                  <c:v>66.88870891074265</c:v>
                </c:pt>
                <c:pt idx="41">
                  <c:v>68.804596558327702</c:v>
                </c:pt>
                <c:pt idx="42">
                  <c:v>70.507548539790378</c:v>
                </c:pt>
                <c:pt idx="43">
                  <c:v>72.070298881914056</c:v>
                </c:pt>
                <c:pt idx="44">
                  <c:v>73.544287582849648</c:v>
                </c:pt>
                <c:pt idx="45">
                  <c:v>75.084588909839766</c:v>
                </c:pt>
                <c:pt idx="46">
                  <c:v>76.577384088394211</c:v>
                </c:pt>
                <c:pt idx="47">
                  <c:v>76.859100230134203</c:v>
                </c:pt>
                <c:pt idx="48">
                  <c:v>76.859100230134203</c:v>
                </c:pt>
                <c:pt idx="49">
                  <c:v>76.859100230134203</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C9E0-446D-8E62-FF155793FE63}"/>
            </c:ext>
          </c:extLst>
        </c:ser>
        <c:ser>
          <c:idx val="1"/>
          <c:order val="1"/>
          <c:tx>
            <c:v>Build small</c:v>
          </c:tx>
          <c:spPr>
            <a:ln w="25400">
              <a:solidFill>
                <a:srgbClr val="B45309"/>
              </a:solidFill>
              <a:prstDash val="dash"/>
            </a:ln>
          </c:spPr>
          <c:marker>
            <c:symbol val="none"/>
          </c:marker>
          <c:xVal>
            <c:numRef>
              <c:f>Results!$E$55:$E$104</c:f>
              <c:numCache>
                <c:formatCode>#,##0.00</c:formatCode>
                <c:ptCount val="50"/>
                <c:pt idx="0">
                  <c:v>-27.354594577856826</c:v>
                </c:pt>
                <c:pt idx="1">
                  <c:v>-17.65342780580497</c:v>
                </c:pt>
                <c:pt idx="2">
                  <c:v>-10.849071864860125</c:v>
                </c:pt>
                <c:pt idx="3">
                  <c:v>-5.4033630529692029</c:v>
                </c:pt>
                <c:pt idx="4">
                  <c:v>-1.7582609136776952</c:v>
                </c:pt>
                <c:pt idx="5">
                  <c:v>1.7190852373869592</c:v>
                </c:pt>
                <c:pt idx="6">
                  <c:v>4.9485468046019427</c:v>
                </c:pt>
                <c:pt idx="7">
                  <c:v>7.3952612647415421</c:v>
                </c:pt>
                <c:pt idx="8">
                  <c:v>9.6989158308947019</c:v>
                </c:pt>
                <c:pt idx="9">
                  <c:v>12.056815550137904</c:v>
                </c:pt>
                <c:pt idx="10">
                  <c:v>14.045232337216554</c:v>
                </c:pt>
                <c:pt idx="11">
                  <c:v>15.661690504890196</c:v>
                </c:pt>
                <c:pt idx="12">
                  <c:v>17.37164718428593</c:v>
                </c:pt>
                <c:pt idx="13">
                  <c:v>18.777384781831859</c:v>
                </c:pt>
                <c:pt idx="14">
                  <c:v>20.211004014896488</c:v>
                </c:pt>
                <c:pt idx="15">
                  <c:v>21.389523964487072</c:v>
                </c:pt>
                <c:pt idx="16">
                  <c:v>22.449313636231178</c:v>
                </c:pt>
                <c:pt idx="17">
                  <c:v>23.416332612467901</c:v>
                </c:pt>
                <c:pt idx="18">
                  <c:v>24.411763220067989</c:v>
                </c:pt>
                <c:pt idx="19">
                  <c:v>25.235690856020032</c:v>
                </c:pt>
                <c:pt idx="20">
                  <c:v>25.842188117745238</c:v>
                </c:pt>
                <c:pt idx="21">
                  <c:v>26.395478445372394</c:v>
                </c:pt>
                <c:pt idx="22">
                  <c:v>26.904219422005788</c:v>
                </c:pt>
                <c:pt idx="23">
                  <c:v>27.350340973259453</c:v>
                </c:pt>
                <c:pt idx="24">
                  <c:v>27.761692013589276</c:v>
                </c:pt>
                <c:pt idx="25">
                  <c:v>28.143823576495652</c:v>
                </c:pt>
                <c:pt idx="26">
                  <c:v>28.429550115067105</c:v>
                </c:pt>
                <c:pt idx="27">
                  <c:v>28.429550115067105</c:v>
                </c:pt>
                <c:pt idx="28">
                  <c:v>28.429550115067105</c:v>
                </c:pt>
                <c:pt idx="29">
                  <c:v>28.429550115067105</c:v>
                </c:pt>
                <c:pt idx="30">
                  <c:v>28.429550115067105</c:v>
                </c:pt>
                <c:pt idx="31">
                  <c:v>28.429550115067105</c:v>
                </c:pt>
                <c:pt idx="32">
                  <c:v>28.429550115067105</c:v>
                </c:pt>
                <c:pt idx="33">
                  <c:v>28.429550115067105</c:v>
                </c:pt>
                <c:pt idx="34">
                  <c:v>28.429550115067105</c:v>
                </c:pt>
                <c:pt idx="35">
                  <c:v>28.429550115067105</c:v>
                </c:pt>
                <c:pt idx="36">
                  <c:v>28.429550115067105</c:v>
                </c:pt>
                <c:pt idx="37">
                  <c:v>28.429550115067105</c:v>
                </c:pt>
                <c:pt idx="38">
                  <c:v>28.429550115067105</c:v>
                </c:pt>
                <c:pt idx="39">
                  <c:v>28.429550115067105</c:v>
                </c:pt>
                <c:pt idx="40">
                  <c:v>28.429550115067105</c:v>
                </c:pt>
                <c:pt idx="41">
                  <c:v>28.429550115067105</c:v>
                </c:pt>
                <c:pt idx="42">
                  <c:v>28.429550115067105</c:v>
                </c:pt>
                <c:pt idx="43">
                  <c:v>28.429550115067105</c:v>
                </c:pt>
                <c:pt idx="44">
                  <c:v>28.429550115067105</c:v>
                </c:pt>
                <c:pt idx="45">
                  <c:v>28.429550115067105</c:v>
                </c:pt>
                <c:pt idx="46">
                  <c:v>28.429550115067105</c:v>
                </c:pt>
                <c:pt idx="47">
                  <c:v>28.429550115067105</c:v>
                </c:pt>
                <c:pt idx="48">
                  <c:v>28.429550115067105</c:v>
                </c:pt>
                <c:pt idx="49">
                  <c:v>28.429550115067105</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C9E0-446D-8E62-FF155793FE63}"/>
            </c:ext>
          </c:extLst>
        </c:ser>
        <c:ser>
          <c:idx val="2"/>
          <c:order val="2"/>
          <c:tx>
            <c:v>Build small, decide later</c:v>
          </c:tx>
          <c:spPr>
            <a:ln w="25400">
              <a:solidFill>
                <a:srgbClr val="15803D"/>
              </a:solidFill>
              <a:prstDash val="solid"/>
            </a:ln>
          </c:spPr>
          <c:marker>
            <c:symbol val="none"/>
          </c:marker>
          <c:xVal>
            <c:numRef>
              <c:f>Results!$F$55:$F$104</c:f>
              <c:numCache>
                <c:formatCode>#,##0.00</c:formatCode>
                <c:ptCount val="50"/>
                <c:pt idx="0">
                  <c:v>-32.292910856078606</c:v>
                </c:pt>
                <c:pt idx="1">
                  <c:v>-20.573675717933796</c:v>
                </c:pt>
                <c:pt idx="2">
                  <c:v>-14.731308851208468</c:v>
                </c:pt>
                <c:pt idx="3">
                  <c:v>-10.714372580113807</c:v>
                </c:pt>
                <c:pt idx="4">
                  <c:v>-7.8797282530184845</c:v>
                </c:pt>
                <c:pt idx="5">
                  <c:v>-4.0381302291621033</c:v>
                </c:pt>
                <c:pt idx="6">
                  <c:v>-0.60923067525668451</c:v>
                </c:pt>
                <c:pt idx="7">
                  <c:v>2.3775214940108649</c:v>
                </c:pt>
                <c:pt idx="8">
                  <c:v>5.4065219113495848</c:v>
                </c:pt>
                <c:pt idx="9">
                  <c:v>7.6365788929278153</c:v>
                </c:pt>
                <c:pt idx="10">
                  <c:v>9.7720420883814789</c:v>
                </c:pt>
                <c:pt idx="11">
                  <c:v>12.103512176020352</c:v>
                </c:pt>
                <c:pt idx="12">
                  <c:v>13.969273319874244</c:v>
                </c:pt>
                <c:pt idx="13">
                  <c:v>15.622839970044112</c:v>
                </c:pt>
                <c:pt idx="14">
                  <c:v>17.307990481810002</c:v>
                </c:pt>
                <c:pt idx="15">
                  <c:v>18.798476909263467</c:v>
                </c:pt>
                <c:pt idx="16">
                  <c:v>20.27070200140508</c:v>
                </c:pt>
                <c:pt idx="17">
                  <c:v>21.498234087168566</c:v>
                </c:pt>
                <c:pt idx="18">
                  <c:v>22.637024039346276</c:v>
                </c:pt>
                <c:pt idx="19">
                  <c:v>23.757501223057236</c:v>
                </c:pt>
                <c:pt idx="20">
                  <c:v>24.771702107277054</c:v>
                </c:pt>
                <c:pt idx="21">
                  <c:v>25.569774728355849</c:v>
                </c:pt>
                <c:pt idx="22">
                  <c:v>26.227644294467304</c:v>
                </c:pt>
                <c:pt idx="23">
                  <c:v>26.829738326987236</c:v>
                </c:pt>
                <c:pt idx="24">
                  <c:v>27.396220383873267</c:v>
                </c:pt>
                <c:pt idx="25">
                  <c:v>27.908181254975521</c:v>
                </c:pt>
                <c:pt idx="26">
                  <c:v>28.378484631759072</c:v>
                </c:pt>
                <c:pt idx="27">
                  <c:v>28.429550115067105</c:v>
                </c:pt>
                <c:pt idx="28">
                  <c:v>28.429550115067105</c:v>
                </c:pt>
                <c:pt idx="29">
                  <c:v>28.429550115067105</c:v>
                </c:pt>
                <c:pt idx="30">
                  <c:v>28.429550115067105</c:v>
                </c:pt>
                <c:pt idx="31">
                  <c:v>28.429550115067105</c:v>
                </c:pt>
                <c:pt idx="32">
                  <c:v>28.429550115067105</c:v>
                </c:pt>
                <c:pt idx="33">
                  <c:v>28.429550115067105</c:v>
                </c:pt>
                <c:pt idx="34">
                  <c:v>28.429550115067105</c:v>
                </c:pt>
                <c:pt idx="35">
                  <c:v>28.429550115067105</c:v>
                </c:pt>
                <c:pt idx="36">
                  <c:v>28.429550115067105</c:v>
                </c:pt>
                <c:pt idx="37">
                  <c:v>28.429550115067105</c:v>
                </c:pt>
                <c:pt idx="38">
                  <c:v>32.283606031006116</c:v>
                </c:pt>
                <c:pt idx="39">
                  <c:v>39.826047425254295</c:v>
                </c:pt>
                <c:pt idx="40">
                  <c:v>45.634438534706149</c:v>
                </c:pt>
                <c:pt idx="41">
                  <c:v>50.535542048238796</c:v>
                </c:pt>
                <c:pt idx="42">
                  <c:v>53.580028587746526</c:v>
                </c:pt>
                <c:pt idx="43">
                  <c:v>56.033350360496335</c:v>
                </c:pt>
                <c:pt idx="44">
                  <c:v>58.103315610639193</c:v>
                </c:pt>
                <c:pt idx="45">
                  <c:v>58.103315610639193</c:v>
                </c:pt>
                <c:pt idx="46">
                  <c:v>58.103315610639193</c:v>
                </c:pt>
                <c:pt idx="47">
                  <c:v>58.103315610639193</c:v>
                </c:pt>
                <c:pt idx="48">
                  <c:v>58.103315610639193</c:v>
                </c:pt>
                <c:pt idx="49">
                  <c:v>58.103315610639193</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C9E0-446D-8E62-FF155793FE6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Results!$E$107:$E$116</c:f>
              <c:numCache>
                <c:formatCode>#,##0.00</c:formatCode>
                <c:ptCount val="10"/>
                <c:pt idx="0">
                  <c:v>144.64945109948076</c:v>
                </c:pt>
                <c:pt idx="1">
                  <c:v>167.97402577857309</c:v>
                </c:pt>
                <c:pt idx="2">
                  <c:v>188.47664597066742</c:v>
                </c:pt>
                <c:pt idx="3">
                  <c:v>204.05343604122538</c:v>
                </c:pt>
                <c:pt idx="4">
                  <c:v>219.09044575263295</c:v>
                </c:pt>
                <c:pt idx="5">
                  <c:v>232.54170401229115</c:v>
                </c:pt>
                <c:pt idx="6">
                  <c:v>244.05543285482463</c:v>
                </c:pt>
                <c:pt idx="7">
                  <c:v>257.94704701213197</c:v>
                </c:pt>
                <c:pt idx="8">
                  <c:v>274.37705990786509</c:v>
                </c:pt>
                <c:pt idx="9">
                  <c:v>291.9615316013502</c:v>
                </c:pt>
              </c:numCache>
            </c:numRef>
          </c:val>
          <c:smooth val="0"/>
          <c:extLst>
            <c:ext xmlns:c16="http://schemas.microsoft.com/office/drawing/2014/chart" uri="{C3380CC4-5D6E-409C-BE32-E72D297353CC}">
              <c16:uniqueId val="{00000000-51C8-4447-BA7C-08066AFBF4A2}"/>
            </c:ext>
          </c:extLst>
        </c:ser>
        <c:ser>
          <c:idx val="1"/>
          <c:order val="1"/>
          <c:tx>
            <c:v>Median</c:v>
          </c:tx>
          <c:spPr>
            <a:ln w="28575">
              <a:solidFill>
                <a:srgbClr val="0E4F92"/>
              </a:solidFill>
              <a:prstDash val="solid"/>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Results!$D$107:$D$116</c:f>
              <c:numCache>
                <c:formatCode>#,##0.00</c:formatCode>
                <c:ptCount val="10"/>
                <c:pt idx="0">
                  <c:v>98.081885718678791</c:v>
                </c:pt>
                <c:pt idx="1">
                  <c:v>96.917779179091426</c:v>
                </c:pt>
                <c:pt idx="2">
                  <c:v>95.558978234768105</c:v>
                </c:pt>
                <c:pt idx="3">
                  <c:v>94.621343961708263</c:v>
                </c:pt>
                <c:pt idx="4">
                  <c:v>93.677590998580158</c:v>
                </c:pt>
                <c:pt idx="5">
                  <c:v>92.329572427772803</c:v>
                </c:pt>
                <c:pt idx="6">
                  <c:v>90.064690219460701</c:v>
                </c:pt>
                <c:pt idx="7">
                  <c:v>88.790164030634898</c:v>
                </c:pt>
                <c:pt idx="8">
                  <c:v>87.270258347229671</c:v>
                </c:pt>
                <c:pt idx="9">
                  <c:v>87.561468572755388</c:v>
                </c:pt>
              </c:numCache>
            </c:numRef>
          </c:val>
          <c:smooth val="0"/>
          <c:extLst>
            <c:ext xmlns:c16="http://schemas.microsoft.com/office/drawing/2014/chart" uri="{C3380CC4-5D6E-409C-BE32-E72D297353CC}">
              <c16:uniqueId val="{00000001-51C8-4447-BA7C-08066AFBF4A2}"/>
            </c:ext>
          </c:extLst>
        </c:ser>
        <c:ser>
          <c:idx val="2"/>
          <c:order val="2"/>
          <c:tx>
            <c:v>Mean</c:v>
          </c:tx>
          <c:spPr>
            <a:ln w="19050">
              <a:solidFill>
                <a:srgbClr val="B45309"/>
              </a:solidFill>
              <a:prstDash val="solid"/>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Results!$F$107:$F$116</c:f>
              <c:numCache>
                <c:formatCode>#,##0.00</c:formatCode>
                <c:ptCount val="10"/>
                <c:pt idx="0">
                  <c:v>102.9130080606286</c:v>
                </c:pt>
                <c:pt idx="1">
                  <c:v>106.70853514576251</c:v>
                </c:pt>
                <c:pt idx="2">
                  <c:v>110.32819911880657</c:v>
                </c:pt>
                <c:pt idx="3">
                  <c:v>113.06480710826887</c:v>
                </c:pt>
                <c:pt idx="4">
                  <c:v>116.95319944280781</c:v>
                </c:pt>
                <c:pt idx="5">
                  <c:v>119.49283129143686</c:v>
                </c:pt>
                <c:pt idx="6">
                  <c:v>122.55947552837296</c:v>
                </c:pt>
                <c:pt idx="7">
                  <c:v>125.32455935701283</c:v>
                </c:pt>
                <c:pt idx="8">
                  <c:v>129.00242955134914</c:v>
                </c:pt>
                <c:pt idx="9">
                  <c:v>133.39599437692036</c:v>
                </c:pt>
              </c:numCache>
            </c:numRef>
          </c:val>
          <c:smooth val="0"/>
          <c:extLst>
            <c:ext xmlns:c16="http://schemas.microsoft.com/office/drawing/2014/chart" uri="{C3380CC4-5D6E-409C-BE32-E72D297353CC}">
              <c16:uniqueId val="{00000002-51C8-4447-BA7C-08066AFBF4A2}"/>
            </c:ext>
          </c:extLst>
        </c:ser>
        <c:ser>
          <c:idx val="3"/>
          <c:order val="3"/>
          <c:tx>
            <c:v>10th percentile</c:v>
          </c:tx>
          <c:spPr>
            <a:ln w="15875">
              <a:solidFill>
                <a:srgbClr val="0E4F92"/>
              </a:solidFill>
              <a:prstDash val="dash"/>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Results!$C$107:$C$116</c:f>
              <c:numCache>
                <c:formatCode>#,##0.00</c:formatCode>
                <c:ptCount val="10"/>
                <c:pt idx="0">
                  <c:v>67.062442042855508</c:v>
                </c:pt>
                <c:pt idx="1">
                  <c:v>56.686718465416277</c:v>
                </c:pt>
                <c:pt idx="2">
                  <c:v>49.133618885970854</c:v>
                </c:pt>
                <c:pt idx="3">
                  <c:v>43.625187346625516</c:v>
                </c:pt>
                <c:pt idx="4">
                  <c:v>38.882204586347264</c:v>
                </c:pt>
                <c:pt idx="5">
                  <c:v>35.360653018016315</c:v>
                </c:pt>
                <c:pt idx="6">
                  <c:v>32.75975980002012</c:v>
                </c:pt>
                <c:pt idx="7">
                  <c:v>30.225853672909146</c:v>
                </c:pt>
                <c:pt idx="8">
                  <c:v>27.98289905591648</c:v>
                </c:pt>
                <c:pt idx="9">
                  <c:v>25.680404567840043</c:v>
                </c:pt>
              </c:numCache>
            </c:numRef>
          </c:val>
          <c:smooth val="0"/>
          <c:extLst>
            <c:ext xmlns:c16="http://schemas.microsoft.com/office/drawing/2014/chart" uri="{C3380CC4-5D6E-409C-BE32-E72D297353CC}">
              <c16:uniqueId val="{00000003-51C8-4447-BA7C-08066AFBF4A2}"/>
            </c:ext>
          </c:extLst>
        </c:ser>
        <c:ser>
          <c:idx val="4"/>
          <c:order val="4"/>
          <c:tx>
            <c:v>Expand at or above</c:v>
          </c:tx>
          <c:spPr>
            <a:ln w="22225">
              <a:solidFill>
                <a:srgbClr val="15803D"/>
              </a:solidFill>
              <a:prstDash val="solid"/>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Results!$G$107:$G$116</c:f>
              <c:numCache>
                <c:formatCode>#,##0.00</c:formatCode>
                <c:ptCount val="10"/>
                <c:pt idx="0">
                  <c:v>120</c:v>
                </c:pt>
                <c:pt idx="1">
                  <c:v>120</c:v>
                </c:pt>
                <c:pt idx="2">
                  <c:v>120</c:v>
                </c:pt>
                <c:pt idx="3">
                  <c:v>120</c:v>
                </c:pt>
                <c:pt idx="4">
                  <c:v>120</c:v>
                </c:pt>
                <c:pt idx="5">
                  <c:v>120</c:v>
                </c:pt>
                <c:pt idx="6">
                  <c:v>120</c:v>
                </c:pt>
                <c:pt idx="7">
                  <c:v>120</c:v>
                </c:pt>
                <c:pt idx="8">
                  <c:v>120</c:v>
                </c:pt>
                <c:pt idx="9">
                  <c:v>120</c:v>
                </c:pt>
              </c:numCache>
            </c:numRef>
          </c:val>
          <c:smooth val="0"/>
          <c:extLst>
            <c:ext xmlns:c16="http://schemas.microsoft.com/office/drawing/2014/chart" uri="{C3380CC4-5D6E-409C-BE32-E72D297353CC}">
              <c16:uniqueId val="{00000004-51C8-4447-BA7C-08066AFBF4A2}"/>
            </c:ext>
          </c:extLst>
        </c:ser>
        <c:ser>
          <c:idx val="5"/>
          <c:order val="5"/>
          <c:tx>
            <c:v>Sell at or below</c:v>
          </c:tx>
          <c:spPr>
            <a:ln w="22225">
              <a:solidFill>
                <a:srgbClr val="15803D"/>
              </a:solidFill>
              <a:prstDash val="sysDash"/>
            </a:ln>
          </c:spPr>
          <c:marker>
            <c:symbol val="none"/>
          </c:marker>
          <c:cat>
            <c:numRef>
              <c:f>Results!$B$107:$B$116</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Results!$H$107:$H$116</c:f>
              <c:numCache>
                <c:formatCode>#,##0.00</c:formatCode>
                <c:ptCount val="10"/>
                <c:pt idx="0">
                  <c:v>40</c:v>
                </c:pt>
                <c:pt idx="1">
                  <c:v>40</c:v>
                </c:pt>
                <c:pt idx="2">
                  <c:v>40</c:v>
                </c:pt>
                <c:pt idx="3">
                  <c:v>40</c:v>
                </c:pt>
                <c:pt idx="4">
                  <c:v>40</c:v>
                </c:pt>
                <c:pt idx="5">
                  <c:v>40</c:v>
                </c:pt>
                <c:pt idx="6">
                  <c:v>40</c:v>
                </c:pt>
                <c:pt idx="7">
                  <c:v>40</c:v>
                </c:pt>
                <c:pt idx="8">
                  <c:v>40</c:v>
                </c:pt>
                <c:pt idx="9">
                  <c:v>40</c:v>
                </c:pt>
              </c:numCache>
            </c:numRef>
          </c:val>
          <c:smooth val="0"/>
          <c:extLst>
            <c:ext xmlns:c16="http://schemas.microsoft.com/office/drawing/2014/chart" uri="{C3380CC4-5D6E-409C-BE32-E72D297353CC}">
              <c16:uniqueId val="{00000005-51C8-4447-BA7C-08066AFBF4A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Thousand units</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0" t="s">
        <v>20</v>
      </c>
      <c r="C16" s="6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59</v>
      </c>
      <c r="C57" s="10" t="s">
        <v>66</v>
      </c>
    </row>
    <row r="58" spans="2:3" x14ac:dyDescent="0.45">
      <c r="B58" s="9" t="s">
        <v>67</v>
      </c>
      <c r="C58" s="10" t="s">
        <v>68</v>
      </c>
    </row>
    <row r="59" spans="2:3" x14ac:dyDescent="0.45">
      <c r="B59" s="9" t="s">
        <v>69</v>
      </c>
      <c r="C59" s="10" t="s">
        <v>70</v>
      </c>
    </row>
    <row r="60" spans="2:3" x14ac:dyDescent="0.45">
      <c r="B60" s="9" t="s">
        <v>71</v>
      </c>
      <c r="C60" s="10" t="s">
        <v>72</v>
      </c>
    </row>
    <row r="61" spans="2:3" ht="12" customHeight="1" x14ac:dyDescent="0.45"/>
    <row r="62" spans="2:3" ht="22.05" customHeight="1" x14ac:dyDescent="0.5">
      <c r="B62" s="7" t="s">
        <v>73</v>
      </c>
      <c r="C62" s="8"/>
    </row>
    <row r="63" spans="2:3" x14ac:dyDescent="0.45">
      <c r="B63" s="20" t="s">
        <v>74</v>
      </c>
      <c r="C63" s="10" t="s">
        <v>75</v>
      </c>
    </row>
    <row r="64" spans="2:3" x14ac:dyDescent="0.45">
      <c r="B64" s="20" t="s">
        <v>76</v>
      </c>
      <c r="C64" s="10" t="s">
        <v>77</v>
      </c>
    </row>
    <row r="65" spans="2:3" ht="39.4" x14ac:dyDescent="0.45">
      <c r="B65" s="20" t="s">
        <v>78</v>
      </c>
      <c r="C65" s="10" t="s">
        <v>79</v>
      </c>
    </row>
    <row r="66" spans="2:3" ht="12" customHeight="1" x14ac:dyDescent="0.45"/>
    <row r="67" spans="2:3" ht="22.05" customHeight="1" x14ac:dyDescent="0.5">
      <c r="B67" s="7" t="s">
        <v>80</v>
      </c>
      <c r="C67" s="8"/>
    </row>
    <row r="68" spans="2:3" x14ac:dyDescent="0.45">
      <c r="B68" s="9" t="s">
        <v>81</v>
      </c>
      <c r="C68" s="10" t="s">
        <v>82</v>
      </c>
    </row>
    <row r="69" spans="2:3" x14ac:dyDescent="0.45">
      <c r="B69" s="9" t="s">
        <v>83</v>
      </c>
      <c r="C69" s="10" t="s">
        <v>84</v>
      </c>
    </row>
    <row r="70" spans="2:3" ht="16.05" customHeight="1" x14ac:dyDescent="0.45"/>
    <row r="71" spans="2:3" x14ac:dyDescent="0.45">
      <c r="B71" s="68" t="s">
        <v>85</v>
      </c>
      <c r="C71" s="69"/>
    </row>
  </sheetData>
  <mergeCells count="2">
    <mergeCell ref="B71:C71"/>
    <mergeCell ref="B16:C16"/>
  </mergeCells>
  <hyperlinks>
    <hyperlink ref="D4" location="'Inputs'!A1" display="Next:  Inputs  ▸" xr:uid="{00000000-0004-0000-0000-000000000000}"/>
    <hyperlink ref="B39" location="'Inputs'!A1" display="Inputs" xr:uid="{00000000-0004-0000-0000-000001000000}"/>
    <hyperlink ref="B40" location="'Strategies'!A1" display="Strategi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86</v>
      </c>
      <c r="C3" s="1"/>
      <c r="D3" s="1"/>
      <c r="E3" s="1"/>
      <c r="F3" s="1"/>
      <c r="G3" s="1"/>
      <c r="H3" s="1"/>
      <c r="I3" s="1"/>
      <c r="J3" s="1"/>
    </row>
    <row r="4" spans="1:10" ht="20" customHeight="1" x14ac:dyDescent="0.45">
      <c r="A4" s="5"/>
      <c r="B4" s="22" t="s">
        <v>87</v>
      </c>
      <c r="C4" s="5"/>
      <c r="D4" s="5"/>
      <c r="E4" s="5"/>
      <c r="F4" s="5"/>
      <c r="G4" s="5"/>
      <c r="H4" s="5"/>
      <c r="I4" s="5"/>
      <c r="J4" s="6" t="s">
        <v>88</v>
      </c>
    </row>
    <row r="5" spans="1:10" ht="8" customHeight="1" x14ac:dyDescent="0.45"/>
    <row r="6" spans="1:10" ht="20" customHeight="1" x14ac:dyDescent="0.45">
      <c r="B6" s="71" t="s">
        <v>89</v>
      </c>
      <c r="C6" s="69"/>
      <c r="D6" s="69"/>
      <c r="E6" s="69"/>
      <c r="F6" s="69"/>
      <c r="G6" s="69"/>
      <c r="H6" s="69"/>
      <c r="I6" s="69"/>
      <c r="J6" s="69"/>
    </row>
    <row r="7" spans="1:10" ht="6" customHeight="1" x14ac:dyDescent="0.45"/>
    <row r="8" spans="1:10" ht="22.05" customHeight="1" x14ac:dyDescent="0.5">
      <c r="B8" s="7" t="s">
        <v>90</v>
      </c>
      <c r="C8" s="8"/>
      <c r="D8" s="8"/>
      <c r="E8" s="8"/>
      <c r="F8" s="8"/>
      <c r="G8" s="8"/>
      <c r="H8" s="8"/>
      <c r="I8" s="8"/>
      <c r="J8" s="8"/>
    </row>
    <row r="9" spans="1:10" ht="18" customHeight="1" x14ac:dyDescent="0.45">
      <c r="B9" s="13" t="s">
        <v>91</v>
      </c>
    </row>
    <row r="10" spans="1:10" ht="18" customHeight="1" x14ac:dyDescent="0.45">
      <c r="B10" s="23" t="s">
        <v>92</v>
      </c>
      <c r="C10" s="23" t="s">
        <v>93</v>
      </c>
      <c r="D10" s="24" t="s">
        <v>94</v>
      </c>
      <c r="E10" s="23" t="s">
        <v>95</v>
      </c>
      <c r="F10" s="5"/>
      <c r="G10" s="5"/>
      <c r="H10" s="5"/>
      <c r="I10" s="5"/>
      <c r="J10" s="23" t="s">
        <v>96</v>
      </c>
    </row>
    <row r="11" spans="1:10" x14ac:dyDescent="0.45">
      <c r="B11" s="25" t="s">
        <v>97</v>
      </c>
      <c r="C11" s="26" t="s">
        <v>98</v>
      </c>
      <c r="D11" s="27">
        <v>100</v>
      </c>
      <c r="E11" s="26" t="s">
        <v>99</v>
      </c>
      <c r="F11" s="28"/>
      <c r="G11" s="28"/>
      <c r="H11" s="28"/>
      <c r="I11" s="28"/>
      <c r="J11" s="29" t="s">
        <v>100</v>
      </c>
    </row>
    <row r="12" spans="1:10" x14ac:dyDescent="0.45">
      <c r="B12" s="25" t="s">
        <v>101</v>
      </c>
      <c r="C12" s="26" t="s">
        <v>102</v>
      </c>
      <c r="D12" s="30">
        <v>0.03</v>
      </c>
      <c r="E12" s="26" t="s">
        <v>99</v>
      </c>
      <c r="F12" s="28"/>
      <c r="G12" s="28"/>
      <c r="H12" s="28"/>
      <c r="I12" s="28"/>
      <c r="J12" s="29"/>
    </row>
    <row r="13" spans="1:10" x14ac:dyDescent="0.45">
      <c r="B13" s="25" t="s">
        <v>103</v>
      </c>
      <c r="C13" s="26" t="s">
        <v>102</v>
      </c>
      <c r="D13" s="31">
        <v>0.3</v>
      </c>
      <c r="E13" s="26" t="s">
        <v>99</v>
      </c>
      <c r="F13" s="28"/>
      <c r="G13" s="28"/>
      <c r="H13" s="28"/>
      <c r="I13" s="28"/>
      <c r="J13" s="29" t="s">
        <v>104</v>
      </c>
    </row>
    <row r="14" spans="1:10" x14ac:dyDescent="0.45">
      <c r="B14" s="25" t="s">
        <v>105</v>
      </c>
      <c r="C14" s="26" t="s">
        <v>106</v>
      </c>
      <c r="D14" s="27">
        <v>300</v>
      </c>
      <c r="E14" s="26" t="s">
        <v>99</v>
      </c>
      <c r="F14" s="28"/>
      <c r="G14" s="28"/>
      <c r="H14" s="28"/>
      <c r="I14" s="28"/>
      <c r="J14" s="29" t="s">
        <v>107</v>
      </c>
    </row>
    <row r="15" spans="1:10" ht="8" customHeight="1" x14ac:dyDescent="0.45"/>
    <row r="16" spans="1:10" ht="22.05" customHeight="1" x14ac:dyDescent="0.5">
      <c r="B16" s="7" t="s">
        <v>108</v>
      </c>
      <c r="C16" s="8"/>
      <c r="D16" s="8"/>
      <c r="E16" s="8"/>
      <c r="F16" s="8"/>
      <c r="G16" s="8"/>
      <c r="H16" s="8"/>
      <c r="I16" s="8"/>
      <c r="J16" s="8"/>
    </row>
    <row r="17" spans="2:10" ht="18" customHeight="1" x14ac:dyDescent="0.45">
      <c r="B17" s="13" t="s">
        <v>109</v>
      </c>
    </row>
    <row r="18" spans="2:10" ht="18" customHeight="1" x14ac:dyDescent="0.45">
      <c r="B18" s="23" t="s">
        <v>92</v>
      </c>
      <c r="C18" s="23" t="s">
        <v>93</v>
      </c>
      <c r="D18" s="24" t="s">
        <v>94</v>
      </c>
      <c r="E18" s="23" t="s">
        <v>95</v>
      </c>
      <c r="F18" s="5"/>
      <c r="G18" s="5"/>
      <c r="H18" s="5"/>
      <c r="I18" s="5"/>
      <c r="J18" s="23" t="s">
        <v>96</v>
      </c>
    </row>
    <row r="19" spans="2:10" x14ac:dyDescent="0.45">
      <c r="B19" s="25" t="s">
        <v>110</v>
      </c>
      <c r="C19" s="26" t="s">
        <v>98</v>
      </c>
      <c r="D19" s="27">
        <v>120</v>
      </c>
      <c r="E19" s="26" t="s">
        <v>99</v>
      </c>
      <c r="F19" s="28"/>
      <c r="G19" s="28"/>
      <c r="H19" s="28"/>
      <c r="I19" s="28"/>
      <c r="J19" s="29"/>
    </row>
    <row r="20" spans="2:10" x14ac:dyDescent="0.45">
      <c r="B20" s="25" t="s">
        <v>111</v>
      </c>
      <c r="C20" s="26" t="s">
        <v>112</v>
      </c>
      <c r="D20" s="27">
        <v>90</v>
      </c>
      <c r="E20" s="26" t="s">
        <v>99</v>
      </c>
      <c r="F20" s="28"/>
      <c r="G20" s="28"/>
      <c r="H20" s="28"/>
      <c r="I20" s="28"/>
      <c r="J20" s="29"/>
    </row>
    <row r="21" spans="2:10" x14ac:dyDescent="0.45">
      <c r="B21" s="25" t="s">
        <v>113</v>
      </c>
      <c r="C21" s="26" t="s">
        <v>114</v>
      </c>
      <c r="D21" s="32">
        <v>10</v>
      </c>
      <c r="E21" s="26" t="s">
        <v>99</v>
      </c>
      <c r="F21" s="28"/>
      <c r="G21" s="28"/>
      <c r="H21" s="28"/>
      <c r="I21" s="28"/>
      <c r="J21" s="29"/>
    </row>
    <row r="22" spans="2:10" x14ac:dyDescent="0.45">
      <c r="B22" s="25" t="s">
        <v>115</v>
      </c>
      <c r="C22" s="26" t="s">
        <v>98</v>
      </c>
      <c r="D22" s="27">
        <v>60</v>
      </c>
      <c r="E22" s="26" t="s">
        <v>99</v>
      </c>
      <c r="F22" s="28"/>
      <c r="G22" s="28"/>
      <c r="H22" s="28"/>
      <c r="I22" s="28"/>
      <c r="J22" s="29"/>
    </row>
    <row r="23" spans="2:10" x14ac:dyDescent="0.45">
      <c r="B23" s="25" t="s">
        <v>116</v>
      </c>
      <c r="C23" s="26" t="s">
        <v>112</v>
      </c>
      <c r="D23" s="27">
        <v>55</v>
      </c>
      <c r="E23" s="26" t="s">
        <v>99</v>
      </c>
      <c r="F23" s="28"/>
      <c r="G23" s="28"/>
      <c r="H23" s="28"/>
      <c r="I23" s="28"/>
      <c r="J23" s="29"/>
    </row>
    <row r="24" spans="2:10" x14ac:dyDescent="0.45">
      <c r="B24" s="25" t="s">
        <v>117</v>
      </c>
      <c r="C24" s="26" t="s">
        <v>114</v>
      </c>
      <c r="D24" s="32">
        <v>5</v>
      </c>
      <c r="E24" s="26" t="s">
        <v>99</v>
      </c>
      <c r="F24" s="28"/>
      <c r="G24" s="28"/>
      <c r="H24" s="28"/>
      <c r="I24" s="28"/>
      <c r="J24" s="29"/>
    </row>
    <row r="25" spans="2:10" x14ac:dyDescent="0.45">
      <c r="B25" s="25" t="s">
        <v>118</v>
      </c>
      <c r="C25" s="26" t="s">
        <v>112</v>
      </c>
      <c r="D25" s="27">
        <v>40</v>
      </c>
      <c r="E25" s="26" t="s">
        <v>99</v>
      </c>
      <c r="F25" s="28"/>
      <c r="G25" s="28"/>
      <c r="H25" s="28"/>
      <c r="I25" s="28"/>
      <c r="J25" s="29" t="s">
        <v>119</v>
      </c>
    </row>
    <row r="26" spans="2:10" x14ac:dyDescent="0.45">
      <c r="B26" s="25" t="s">
        <v>120</v>
      </c>
      <c r="C26" s="26" t="s">
        <v>112</v>
      </c>
      <c r="D26" s="27">
        <v>35</v>
      </c>
      <c r="E26" s="26" t="s">
        <v>99</v>
      </c>
      <c r="F26" s="28"/>
      <c r="G26" s="28"/>
      <c r="H26" s="28"/>
      <c r="I26" s="28"/>
      <c r="J26" s="29" t="s">
        <v>121</v>
      </c>
    </row>
    <row r="27" spans="2:10" ht="8" customHeight="1" x14ac:dyDescent="0.45"/>
    <row r="28" spans="2:10" ht="22.05" customHeight="1" x14ac:dyDescent="0.5">
      <c r="B28" s="7" t="s">
        <v>122</v>
      </c>
      <c r="C28" s="8"/>
      <c r="D28" s="8"/>
      <c r="E28" s="8"/>
      <c r="F28" s="8"/>
      <c r="G28" s="8"/>
      <c r="H28" s="8"/>
      <c r="I28" s="8"/>
      <c r="J28" s="8"/>
    </row>
    <row r="29" spans="2:10" ht="18" customHeight="1" x14ac:dyDescent="0.45">
      <c r="B29" s="13" t="s">
        <v>123</v>
      </c>
    </row>
    <row r="30" spans="2:10" ht="18" customHeight="1" x14ac:dyDescent="0.45">
      <c r="B30" s="23" t="s">
        <v>92</v>
      </c>
      <c r="C30" s="23" t="s">
        <v>93</v>
      </c>
      <c r="D30" s="24" t="s">
        <v>94</v>
      </c>
      <c r="E30" s="23" t="s">
        <v>95</v>
      </c>
      <c r="F30" s="5"/>
      <c r="G30" s="5"/>
      <c r="H30" s="5"/>
      <c r="I30" s="5"/>
      <c r="J30" s="23" t="s">
        <v>96</v>
      </c>
    </row>
    <row r="31" spans="2:10" x14ac:dyDescent="0.45">
      <c r="B31" s="25" t="s">
        <v>124</v>
      </c>
      <c r="C31" s="26" t="s">
        <v>125</v>
      </c>
      <c r="D31" s="33">
        <v>2</v>
      </c>
      <c r="E31" s="26" t="s">
        <v>99</v>
      </c>
      <c r="F31" s="28"/>
      <c r="G31" s="28"/>
      <c r="H31" s="28"/>
      <c r="I31" s="28"/>
      <c r="J31" s="29" t="s">
        <v>126</v>
      </c>
    </row>
    <row r="32" spans="2:10" x14ac:dyDescent="0.45">
      <c r="B32" s="25" t="s">
        <v>127</v>
      </c>
      <c r="C32" s="26" t="s">
        <v>128</v>
      </c>
      <c r="D32" s="27">
        <v>120</v>
      </c>
      <c r="E32" s="26" t="s">
        <v>99</v>
      </c>
      <c r="F32" s="28"/>
      <c r="G32" s="28"/>
      <c r="H32" s="28"/>
      <c r="I32" s="28"/>
      <c r="J32" s="29"/>
    </row>
    <row r="33" spans="2:10" x14ac:dyDescent="0.45">
      <c r="B33" s="25" t="s">
        <v>129</v>
      </c>
      <c r="C33" s="26" t="s">
        <v>128</v>
      </c>
      <c r="D33" s="27">
        <v>40</v>
      </c>
      <c r="E33" s="26" t="s">
        <v>99</v>
      </c>
      <c r="F33" s="28"/>
      <c r="G33" s="28"/>
      <c r="H33" s="28"/>
      <c r="I33" s="28"/>
      <c r="J33" s="29"/>
    </row>
    <row r="34" spans="2:10" ht="8" customHeight="1" x14ac:dyDescent="0.45"/>
    <row r="35" spans="2:10" ht="22.05" customHeight="1" x14ac:dyDescent="0.5">
      <c r="B35" s="7" t="s">
        <v>130</v>
      </c>
      <c r="C35" s="8"/>
      <c r="D35" s="8"/>
      <c r="E35" s="8"/>
      <c r="F35" s="8"/>
      <c r="G35" s="8"/>
      <c r="H35" s="8"/>
      <c r="I35" s="8"/>
      <c r="J35" s="8"/>
    </row>
    <row r="36" spans="2:10" ht="18" customHeight="1" x14ac:dyDescent="0.45">
      <c r="B36" s="23" t="s">
        <v>92</v>
      </c>
      <c r="C36" s="23" t="s">
        <v>93</v>
      </c>
      <c r="D36" s="24" t="s">
        <v>94</v>
      </c>
      <c r="E36" s="23" t="s">
        <v>95</v>
      </c>
      <c r="F36" s="5"/>
      <c r="G36" s="5"/>
      <c r="H36" s="5"/>
      <c r="I36" s="5"/>
      <c r="J36" s="23" t="s">
        <v>96</v>
      </c>
    </row>
    <row r="37" spans="2:10" x14ac:dyDescent="0.45">
      <c r="B37" s="25" t="s">
        <v>131</v>
      </c>
      <c r="C37" s="26" t="s">
        <v>102</v>
      </c>
      <c r="D37" s="30">
        <v>0.09</v>
      </c>
      <c r="E37" s="26" t="s">
        <v>99</v>
      </c>
      <c r="F37" s="28"/>
      <c r="G37" s="28"/>
      <c r="H37" s="28"/>
      <c r="I37" s="28"/>
      <c r="J37" s="29" t="s">
        <v>132</v>
      </c>
    </row>
    <row r="38" spans="2:10" ht="8" customHeight="1" x14ac:dyDescent="0.45"/>
  </sheetData>
  <mergeCells count="1">
    <mergeCell ref="B6:J6"/>
  </mergeCells>
  <dataValidations count="4">
    <dataValidation type="decimal" operator="greaterThan" showErrorMessage="1" errorTitle="Positive value" error="Enter a value greater than zero." sqref="D11 D22 D19 D13:D14" xr:uid="{00000000-0002-0000-0100-000000000000}">
      <formula1>0</formula1>
    </dataValidation>
    <dataValidation type="decimal" showErrorMessage="1" errorTitle="Value" error="Enter a value of zero or more." sqref="D32:D33 D23:D26 D20:D21" xr:uid="{00000000-0002-0000-0100-000004000000}">
      <formula1>0</formula1>
      <formula2>1000000000000</formula2>
    </dataValidation>
    <dataValidation type="whole" showErrorMessage="1" errorTitle="Whole number" error="Enter a whole number from 1 to 9." sqref="D31" xr:uid="{00000000-0002-0000-0100-00000B000000}">
      <formula1>1</formula1>
      <formula2>9</formula2>
    </dataValidation>
    <dataValidation type="decimal" showErrorMessage="1" errorTitle="Probability" error="Enter a value between 0% and 100%." sqref="D37" xr:uid="{00000000-0002-0000-0100-00000E000000}">
      <formula1>0</formula1>
      <formula2>1</formula2>
    </dataValidation>
  </dataValidations>
  <hyperlinks>
    <hyperlink ref="B4" location="'About'!A1" display="◂  About" xr:uid="{00000000-0004-0000-0100-000000000000}"/>
    <hyperlink ref="J4" location="'Strategies'!A1" display="Next:  Strategi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P83"/>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1" customWidth="1"/>
    <col min="4" max="4" width="10" customWidth="1"/>
    <col min="5" max="5" width="3" customWidth="1"/>
    <col min="6" max="16" width="8.3984375" customWidth="1"/>
  </cols>
  <sheetData>
    <row r="1" spans="1:16" ht="6" customHeight="1" x14ac:dyDescent="0.45"/>
    <row r="2" spans="1:16" ht="30" customHeight="1" x14ac:dyDescent="0.45">
      <c r="A2" s="1"/>
      <c r="B2" s="21" t="s">
        <v>0</v>
      </c>
      <c r="C2" s="1"/>
      <c r="D2" s="1"/>
      <c r="E2" s="1"/>
      <c r="F2" s="1"/>
      <c r="G2" s="1"/>
      <c r="H2" s="1"/>
      <c r="I2" s="1"/>
      <c r="J2" s="1"/>
      <c r="K2" s="1"/>
      <c r="L2" s="1"/>
      <c r="M2" s="1"/>
      <c r="N2" s="1"/>
      <c r="O2" s="1"/>
      <c r="P2" s="3" t="s">
        <v>1</v>
      </c>
    </row>
    <row r="3" spans="1:16" ht="20" customHeight="1" x14ac:dyDescent="0.45">
      <c r="A3" s="1"/>
      <c r="B3" s="4" t="s">
        <v>133</v>
      </c>
      <c r="C3" s="1"/>
      <c r="D3" s="1"/>
      <c r="E3" s="1"/>
      <c r="F3" s="1"/>
      <c r="G3" s="1"/>
      <c r="H3" s="1"/>
      <c r="I3" s="1"/>
      <c r="J3" s="1"/>
      <c r="K3" s="1"/>
      <c r="L3" s="1"/>
      <c r="M3" s="1"/>
      <c r="N3" s="1"/>
      <c r="O3" s="1"/>
      <c r="P3" s="1"/>
    </row>
    <row r="4" spans="1:16" ht="20" customHeight="1" x14ac:dyDescent="0.45">
      <c r="A4" s="5"/>
      <c r="B4" s="22" t="s">
        <v>134</v>
      </c>
      <c r="C4" s="5"/>
      <c r="D4" s="5"/>
      <c r="E4" s="5"/>
      <c r="F4" s="5"/>
      <c r="G4" s="5"/>
      <c r="H4" s="5"/>
      <c r="I4" s="5"/>
      <c r="J4" s="5"/>
      <c r="K4" s="5"/>
      <c r="L4" s="5"/>
      <c r="M4" s="5"/>
      <c r="N4" s="5"/>
      <c r="O4" s="5"/>
      <c r="P4" s="6" t="s">
        <v>135</v>
      </c>
    </row>
    <row r="5" spans="1:16" ht="8" customHeight="1" x14ac:dyDescent="0.45"/>
    <row r="6" spans="1:16" ht="16.05" customHeight="1" x14ac:dyDescent="0.45">
      <c r="B6" s="34" t="s">
        <v>136</v>
      </c>
      <c r="C6" s="35"/>
      <c r="D6" s="36" t="s">
        <v>137</v>
      </c>
      <c r="E6" s="37"/>
      <c r="F6" s="38">
        <v>0</v>
      </c>
      <c r="G6" s="38">
        <f t="shared" ref="G6:P6" si="0">F6+1</f>
        <v>1</v>
      </c>
      <c r="H6" s="38">
        <f t="shared" si="0"/>
        <v>2</v>
      </c>
      <c r="I6" s="38">
        <f t="shared" si="0"/>
        <v>3</v>
      </c>
      <c r="J6" s="38">
        <f t="shared" si="0"/>
        <v>4</v>
      </c>
      <c r="K6" s="38">
        <f t="shared" si="0"/>
        <v>5</v>
      </c>
      <c r="L6" s="38">
        <f t="shared" si="0"/>
        <v>6</v>
      </c>
      <c r="M6" s="38">
        <f t="shared" si="0"/>
        <v>7</v>
      </c>
      <c r="N6" s="38">
        <f t="shared" si="0"/>
        <v>8</v>
      </c>
      <c r="O6" s="38">
        <f t="shared" si="0"/>
        <v>9</v>
      </c>
      <c r="P6" s="38">
        <f t="shared" si="0"/>
        <v>10</v>
      </c>
    </row>
    <row r="7" spans="1:16" ht="16.05" customHeight="1" x14ac:dyDescent="0.45">
      <c r="B7" s="5"/>
      <c r="C7" s="5"/>
      <c r="D7" s="5"/>
      <c r="E7" s="5"/>
      <c r="F7" s="5"/>
      <c r="G7" s="5"/>
      <c r="H7" s="5"/>
      <c r="I7" s="5"/>
      <c r="J7" s="5"/>
      <c r="K7" s="5"/>
      <c r="L7" s="5"/>
      <c r="M7" s="5"/>
      <c r="N7" s="5"/>
      <c r="O7" s="5"/>
      <c r="P7" s="5"/>
    </row>
    <row r="8" spans="1:16" ht="6" customHeight="1" x14ac:dyDescent="0.45"/>
    <row r="9" spans="1:16" ht="22.05" customHeight="1" x14ac:dyDescent="0.5">
      <c r="B9" s="7" t="s">
        <v>138</v>
      </c>
      <c r="C9" s="8"/>
      <c r="D9" s="8"/>
      <c r="E9" s="8"/>
      <c r="F9" s="8"/>
      <c r="G9" s="8"/>
      <c r="H9" s="8"/>
      <c r="I9" s="8"/>
      <c r="J9" s="8"/>
      <c r="K9" s="8"/>
      <c r="L9" s="8"/>
      <c r="M9" s="8"/>
      <c r="N9" s="8"/>
      <c r="O9" s="8"/>
      <c r="P9" s="8"/>
    </row>
    <row r="10" spans="1:16" ht="18" customHeight="1" x14ac:dyDescent="0.45">
      <c r="B10" s="39" t="s">
        <v>139</v>
      </c>
      <c r="C10" s="39" t="s">
        <v>93</v>
      </c>
      <c r="D10" s="40" t="s">
        <v>140</v>
      </c>
      <c r="E10" s="5"/>
      <c r="F10" s="39" t="s">
        <v>141</v>
      </c>
      <c r="G10" s="5"/>
      <c r="H10" s="5"/>
      <c r="I10" s="5"/>
      <c r="J10" s="5"/>
      <c r="K10" s="5"/>
      <c r="L10" s="5"/>
      <c r="M10" s="5"/>
      <c r="N10" s="5"/>
      <c r="O10" s="5"/>
      <c r="P10" s="5"/>
    </row>
    <row r="11" spans="1:16" x14ac:dyDescent="0.45">
      <c r="B11" s="25" t="s">
        <v>142</v>
      </c>
      <c r="C11" s="26" t="s">
        <v>102</v>
      </c>
      <c r="D11" s="41">
        <f>LN(1+Growth)-0.5*Vol^2</f>
        <v>-1.5441197758455569E-2</v>
      </c>
      <c r="E11" s="28"/>
      <c r="F11" s="26" t="s">
        <v>143</v>
      </c>
      <c r="G11" s="28"/>
      <c r="H11" s="28"/>
      <c r="I11" s="28"/>
      <c r="J11" s="28"/>
      <c r="K11" s="28"/>
      <c r="L11" s="28"/>
      <c r="M11" s="28"/>
      <c r="N11" s="28"/>
      <c r="O11" s="28"/>
      <c r="P11" s="28"/>
    </row>
    <row r="12" spans="1:16" x14ac:dyDescent="0.45">
      <c r="B12" s="25" t="s">
        <v>144</v>
      </c>
      <c r="C12" s="26" t="s">
        <v>112</v>
      </c>
      <c r="D12" s="42">
        <f>Contrib/1000</f>
        <v>0.3</v>
      </c>
      <c r="E12" s="28"/>
      <c r="F12" s="28"/>
      <c r="G12" s="28"/>
      <c r="H12" s="28"/>
      <c r="I12" s="28"/>
      <c r="J12" s="28"/>
      <c r="K12" s="28"/>
      <c r="L12" s="28"/>
      <c r="M12" s="28"/>
      <c r="N12" s="28"/>
      <c r="O12" s="28"/>
      <c r="P12" s="28"/>
    </row>
    <row r="13" spans="1:16" ht="8" customHeight="1" x14ac:dyDescent="0.45"/>
    <row r="14" spans="1:16" ht="22.05" customHeight="1" x14ac:dyDescent="0.5">
      <c r="B14" s="7" t="s">
        <v>145</v>
      </c>
      <c r="C14" s="8"/>
      <c r="D14" s="8"/>
      <c r="E14" s="8"/>
      <c r="F14" s="8"/>
      <c r="G14" s="8"/>
      <c r="H14" s="8"/>
      <c r="I14" s="8"/>
      <c r="J14" s="8"/>
      <c r="K14" s="8"/>
      <c r="L14" s="8"/>
      <c r="M14" s="8"/>
      <c r="N14" s="8"/>
      <c r="O14" s="8"/>
      <c r="P14" s="8"/>
    </row>
    <row r="15" spans="1:16" ht="18" customHeight="1" x14ac:dyDescent="0.45">
      <c r="B15" s="13" t="s">
        <v>146</v>
      </c>
    </row>
    <row r="16" spans="1:16" x14ac:dyDescent="0.45">
      <c r="B16" s="25" t="s">
        <v>59</v>
      </c>
      <c r="C16" s="26" t="s">
        <v>128</v>
      </c>
      <c r="D16" s="28"/>
      <c r="E16" s="28"/>
      <c r="F16" s="43">
        <f>D0</f>
        <v>100</v>
      </c>
      <c r="G16" s="44">
        <f t="array" aca="1" ref="G16:P16" ca="1">_xll.VoseTimeGBM(Mu,Vol,D0)</f>
        <v>69.296592376675036</v>
      </c>
      <c r="H16" s="44">
        <f ca="1"/>
        <v>59.131438553056363</v>
      </c>
      <c r="I16" s="44">
        <f ca="1"/>
        <v>60.059031933768253</v>
      </c>
      <c r="J16" s="44">
        <f ca="1"/>
        <v>24.636534906807587</v>
      </c>
      <c r="K16" s="44">
        <f ca="1"/>
        <v>15.42230284399287</v>
      </c>
      <c r="L16" s="44">
        <f ca="1"/>
        <v>17.397975684590826</v>
      </c>
      <c r="M16" s="44">
        <f ca="1"/>
        <v>13.406684751635721</v>
      </c>
      <c r="N16" s="44">
        <f ca="1"/>
        <v>18.142780947164717</v>
      </c>
      <c r="O16" s="44">
        <f ca="1"/>
        <v>18.054290971891522</v>
      </c>
      <c r="P16" s="44">
        <f ca="1"/>
        <v>23.182915324844824</v>
      </c>
    </row>
    <row r="17" spans="2:16" x14ac:dyDescent="0.45">
      <c r="B17" s="25" t="s">
        <v>147</v>
      </c>
      <c r="C17" s="26" t="s">
        <v>128</v>
      </c>
      <c r="D17" s="28"/>
      <c r="E17" s="28"/>
      <c r="F17" s="45"/>
      <c r="G17" s="45" cm="1">
        <f t="array" aca="1" ref="G17" ca="1">_xll.VoseOutput("Demand year 1","thousand units")+G16</f>
        <v>69.296592376675036</v>
      </c>
      <c r="H17" s="45" cm="1">
        <f t="array" aca="1" ref="H17" ca="1">_xll.VoseOutput("Demand year 2","thousand units")+H16</f>
        <v>59.131438553056363</v>
      </c>
      <c r="I17" s="45" cm="1">
        <f t="array" aca="1" ref="I17" ca="1">_xll.VoseOutput("Demand year 3","thousand units")+I16</f>
        <v>60.059031933768253</v>
      </c>
      <c r="J17" s="45" cm="1">
        <f t="array" aca="1" ref="J17" ca="1">_xll.VoseOutput("Demand year 4","thousand units")+J16</f>
        <v>24.636534906807587</v>
      </c>
      <c r="K17" s="45" cm="1">
        <f t="array" aca="1" ref="K17" ca="1">_xll.VoseOutput("Demand year 5","thousand units")+K16</f>
        <v>15.42230284399287</v>
      </c>
      <c r="L17" s="45" cm="1">
        <f t="array" aca="1" ref="L17" ca="1">_xll.VoseOutput("Demand year 6","thousand units")+L16</f>
        <v>17.397975684590826</v>
      </c>
      <c r="M17" s="45" cm="1">
        <f t="array" aca="1" ref="M17" ca="1">_xll.VoseOutput("Demand year 7","thousand units")+M16</f>
        <v>13.406684751635721</v>
      </c>
      <c r="N17" s="45" cm="1">
        <f t="array" aca="1" ref="N17" ca="1">_xll.VoseOutput("Demand year 8","thousand units")+N16</f>
        <v>18.142780947164717</v>
      </c>
      <c r="O17" s="45" cm="1">
        <f t="array" aca="1" ref="O17" ca="1">_xll.VoseOutput("Demand year 9","thousand units")+O16</f>
        <v>18.054290971891522</v>
      </c>
      <c r="P17" s="45" cm="1">
        <f t="array" aca="1" ref="P17" ca="1">_xll.VoseOutput("Demand year 10","thousand units")+P16</f>
        <v>23.182915324844824</v>
      </c>
    </row>
    <row r="18" spans="2:16" x14ac:dyDescent="0.45">
      <c r="B18" s="25" t="s">
        <v>148</v>
      </c>
      <c r="C18" s="26" t="s">
        <v>128</v>
      </c>
      <c r="D18" s="28"/>
      <c r="E18" s="28"/>
      <c r="F18" s="43">
        <f>D0</f>
        <v>100</v>
      </c>
      <c r="G18" s="43">
        <f t="shared" ref="G18:P18" si="1">D0*(1+Growth)^G$6</f>
        <v>103</v>
      </c>
      <c r="H18" s="43">
        <f t="shared" si="1"/>
        <v>106.08999999999999</v>
      </c>
      <c r="I18" s="43">
        <f t="shared" si="1"/>
        <v>109.2727</v>
      </c>
      <c r="J18" s="43">
        <f t="shared" si="1"/>
        <v>112.55088099999999</v>
      </c>
      <c r="K18" s="43">
        <f t="shared" si="1"/>
        <v>115.92740742999999</v>
      </c>
      <c r="L18" s="43">
        <f t="shared" si="1"/>
        <v>119.40522965289999</v>
      </c>
      <c r="M18" s="43">
        <f t="shared" si="1"/>
        <v>122.987386542487</v>
      </c>
      <c r="N18" s="43">
        <f t="shared" si="1"/>
        <v>126.67700813876159</v>
      </c>
      <c r="O18" s="43">
        <f t="shared" si="1"/>
        <v>130.47731838292444</v>
      </c>
      <c r="P18" s="43">
        <f t="shared" si="1"/>
        <v>134.39163793441219</v>
      </c>
    </row>
    <row r="19" spans="2:16" x14ac:dyDescent="0.45">
      <c r="B19" s="25" t="s">
        <v>149</v>
      </c>
      <c r="C19" s="26"/>
      <c r="D19" s="28"/>
      <c r="E19" s="28"/>
      <c r="F19" s="42">
        <f>1</f>
        <v>1</v>
      </c>
      <c r="G19" s="42">
        <f t="shared" ref="G19:P19" si="2">1/(1+DiscRate)^G$6</f>
        <v>0.9174311926605504</v>
      </c>
      <c r="H19" s="42">
        <f t="shared" si="2"/>
        <v>0.84167999326655996</v>
      </c>
      <c r="I19" s="42">
        <f t="shared" si="2"/>
        <v>0.77218348006106419</v>
      </c>
      <c r="J19" s="42">
        <f t="shared" si="2"/>
        <v>0.7084252110651964</v>
      </c>
      <c r="K19" s="42">
        <f t="shared" si="2"/>
        <v>0.64993138629834524</v>
      </c>
      <c r="L19" s="42">
        <f t="shared" si="2"/>
        <v>0.5962673268792158</v>
      </c>
      <c r="M19" s="42">
        <f t="shared" si="2"/>
        <v>0.54703424484331731</v>
      </c>
      <c r="N19" s="42">
        <f t="shared" si="2"/>
        <v>0.50186627967276809</v>
      </c>
      <c r="O19" s="42">
        <f t="shared" si="2"/>
        <v>0.46042777951630098</v>
      </c>
      <c r="P19" s="42">
        <f t="shared" si="2"/>
        <v>0.42241080689568894</v>
      </c>
    </row>
    <row r="20" spans="2:16" ht="8" customHeight="1" x14ac:dyDescent="0.45"/>
    <row r="21" spans="2:16" ht="22.05" customHeight="1" x14ac:dyDescent="0.5">
      <c r="B21" s="7" t="s">
        <v>150</v>
      </c>
      <c r="C21" s="8"/>
      <c r="D21" s="8"/>
      <c r="E21" s="8"/>
      <c r="F21" s="8"/>
      <c r="G21" s="8"/>
      <c r="H21" s="8"/>
      <c r="I21" s="8"/>
      <c r="J21" s="8"/>
      <c r="K21" s="8"/>
      <c r="L21" s="8"/>
      <c r="M21" s="8"/>
      <c r="N21" s="8"/>
      <c r="O21" s="8"/>
      <c r="P21" s="8"/>
    </row>
    <row r="22" spans="2:16" x14ac:dyDescent="0.45">
      <c r="B22" s="25" t="s">
        <v>151</v>
      </c>
      <c r="C22" s="26" t="s">
        <v>128</v>
      </c>
      <c r="D22" s="28"/>
      <c r="E22" s="28"/>
      <c r="F22" s="46"/>
      <c r="G22" s="46">
        <f t="shared" ref="G22:P22" si="3">BigCap</f>
        <v>120</v>
      </c>
      <c r="H22" s="46">
        <f t="shared" si="3"/>
        <v>120</v>
      </c>
      <c r="I22" s="46">
        <f t="shared" si="3"/>
        <v>120</v>
      </c>
      <c r="J22" s="46">
        <f t="shared" si="3"/>
        <v>120</v>
      </c>
      <c r="K22" s="46">
        <f t="shared" si="3"/>
        <v>120</v>
      </c>
      <c r="L22" s="46">
        <f t="shared" si="3"/>
        <v>120</v>
      </c>
      <c r="M22" s="46">
        <f t="shared" si="3"/>
        <v>120</v>
      </c>
      <c r="N22" s="46">
        <f t="shared" si="3"/>
        <v>120</v>
      </c>
      <c r="O22" s="46">
        <f t="shared" si="3"/>
        <v>120</v>
      </c>
      <c r="P22" s="46">
        <f t="shared" si="3"/>
        <v>120</v>
      </c>
    </row>
    <row r="23" spans="2:16" x14ac:dyDescent="0.45">
      <c r="B23" s="47" t="s">
        <v>152</v>
      </c>
      <c r="C23" s="26" t="s">
        <v>112</v>
      </c>
      <c r="D23" s="48">
        <f ca="1">SUM(F23:P23)</f>
        <v>-94.380835511671705</v>
      </c>
      <c r="E23" s="28"/>
      <c r="F23" s="48">
        <f>-BigCapex</f>
        <v>-90</v>
      </c>
      <c r="G23" s="48">
        <f t="shared" ref="G23:P23" ca="1" si="4">Margin*MIN(G16,G22)-BigFixed</f>
        <v>10.78897771300251</v>
      </c>
      <c r="H23" s="48">
        <f t="shared" ca="1" si="4"/>
        <v>7.7394315659169095</v>
      </c>
      <c r="I23" s="48">
        <f t="shared" ca="1" si="4"/>
        <v>8.0177095801304752</v>
      </c>
      <c r="J23" s="48">
        <f t="shared" ca="1" si="4"/>
        <v>-2.6090395279577248</v>
      </c>
      <c r="K23" s="48">
        <f t="shared" ca="1" si="4"/>
        <v>-5.3733091468021392</v>
      </c>
      <c r="L23" s="48">
        <f t="shared" ca="1" si="4"/>
        <v>-4.7806072946227527</v>
      </c>
      <c r="M23" s="48">
        <f t="shared" ca="1" si="4"/>
        <v>-5.9779945745092835</v>
      </c>
      <c r="N23" s="48">
        <f t="shared" ca="1" si="4"/>
        <v>-4.5571657158505854</v>
      </c>
      <c r="O23" s="48">
        <f t="shared" ca="1" si="4"/>
        <v>-4.583712708432544</v>
      </c>
      <c r="P23" s="48">
        <f t="shared" ca="1" si="4"/>
        <v>-3.0451254025465531</v>
      </c>
    </row>
    <row r="24" spans="2:16" x14ac:dyDescent="0.45">
      <c r="B24" s="25" t="s">
        <v>153</v>
      </c>
      <c r="C24" s="26" t="s">
        <v>112</v>
      </c>
      <c r="D24" s="48">
        <f>SUM(F24:P24)</f>
        <v>153.87386542486999</v>
      </c>
      <c r="E24" s="28"/>
      <c r="F24" s="43">
        <f>-BigCapex</f>
        <v>-90</v>
      </c>
      <c r="G24" s="43">
        <f t="shared" ref="G24:P24" si="5">Margin*MIN(G18,BigCap)-BigFixed</f>
        <v>20.9</v>
      </c>
      <c r="H24" s="43">
        <f t="shared" si="5"/>
        <v>21.826999999999995</v>
      </c>
      <c r="I24" s="43">
        <f t="shared" si="5"/>
        <v>22.78181</v>
      </c>
      <c r="J24" s="43">
        <f t="shared" si="5"/>
        <v>23.765264299999998</v>
      </c>
      <c r="K24" s="43">
        <f t="shared" si="5"/>
        <v>24.778222228999994</v>
      </c>
      <c r="L24" s="43">
        <f t="shared" si="5"/>
        <v>25.821568895869994</v>
      </c>
      <c r="M24" s="43">
        <f t="shared" si="5"/>
        <v>26</v>
      </c>
      <c r="N24" s="43">
        <f t="shared" si="5"/>
        <v>26</v>
      </c>
      <c r="O24" s="43">
        <f t="shared" si="5"/>
        <v>26</v>
      </c>
      <c r="P24" s="43">
        <f t="shared" si="5"/>
        <v>26</v>
      </c>
    </row>
    <row r="25" spans="2:16" ht="8" customHeight="1" x14ac:dyDescent="0.45"/>
    <row r="26" spans="2:16" ht="22.05" customHeight="1" x14ac:dyDescent="0.5">
      <c r="B26" s="7" t="s">
        <v>154</v>
      </c>
      <c r="C26" s="8"/>
      <c r="D26" s="8"/>
      <c r="E26" s="8"/>
      <c r="F26" s="8"/>
      <c r="G26" s="8"/>
      <c r="H26" s="8"/>
      <c r="I26" s="8"/>
      <c r="J26" s="8"/>
      <c r="K26" s="8"/>
      <c r="L26" s="8"/>
      <c r="M26" s="8"/>
      <c r="N26" s="8"/>
      <c r="O26" s="8"/>
      <c r="P26" s="8"/>
    </row>
    <row r="27" spans="2:16" x14ac:dyDescent="0.45">
      <c r="B27" s="25" t="s">
        <v>151</v>
      </c>
      <c r="C27" s="26" t="s">
        <v>128</v>
      </c>
      <c r="D27" s="28"/>
      <c r="E27" s="28"/>
      <c r="F27" s="46"/>
      <c r="G27" s="46">
        <f t="shared" ref="G27:P27" si="6">SmallCap</f>
        <v>60</v>
      </c>
      <c r="H27" s="46">
        <f t="shared" si="6"/>
        <v>60</v>
      </c>
      <c r="I27" s="46">
        <f t="shared" si="6"/>
        <v>60</v>
      </c>
      <c r="J27" s="46">
        <f t="shared" si="6"/>
        <v>60</v>
      </c>
      <c r="K27" s="46">
        <f t="shared" si="6"/>
        <v>60</v>
      </c>
      <c r="L27" s="46">
        <f t="shared" si="6"/>
        <v>60</v>
      </c>
      <c r="M27" s="46">
        <f t="shared" si="6"/>
        <v>60</v>
      </c>
      <c r="N27" s="46">
        <f t="shared" si="6"/>
        <v>60</v>
      </c>
      <c r="O27" s="46">
        <f t="shared" si="6"/>
        <v>60</v>
      </c>
      <c r="P27" s="46">
        <f t="shared" si="6"/>
        <v>60</v>
      </c>
    </row>
    <row r="28" spans="2:16" x14ac:dyDescent="0.45">
      <c r="B28" s="47" t="s">
        <v>152</v>
      </c>
      <c r="C28" s="26" t="s">
        <v>112</v>
      </c>
      <c r="D28" s="48">
        <f ca="1">SUM(F28:P28)</f>
        <v>-12.187522804804672</v>
      </c>
      <c r="E28" s="28"/>
      <c r="F28" s="48">
        <f>-SmallCapex</f>
        <v>-55</v>
      </c>
      <c r="G28" s="48">
        <f t="shared" ref="G28:P28" ca="1" si="7">Margin*MIN(G16,G27)-SmallFixed</f>
        <v>13</v>
      </c>
      <c r="H28" s="48">
        <f t="shared" ca="1" si="7"/>
        <v>12.73943156591691</v>
      </c>
      <c r="I28" s="48">
        <f t="shared" ca="1" si="7"/>
        <v>13</v>
      </c>
      <c r="J28" s="48">
        <f t="shared" ca="1" si="7"/>
        <v>2.3909604720422752</v>
      </c>
      <c r="K28" s="48">
        <f t="shared" ca="1" si="7"/>
        <v>-0.37330914680213922</v>
      </c>
      <c r="L28" s="48">
        <f t="shared" ca="1" si="7"/>
        <v>0.21939270537724731</v>
      </c>
      <c r="M28" s="48">
        <f t="shared" ca="1" si="7"/>
        <v>-0.97799457450928351</v>
      </c>
      <c r="N28" s="48">
        <f t="shared" ca="1" si="7"/>
        <v>0.44283428414941461</v>
      </c>
      <c r="O28" s="48">
        <f t="shared" ca="1" si="7"/>
        <v>0.41628729156745603</v>
      </c>
      <c r="P28" s="48">
        <f t="shared" ca="1" si="7"/>
        <v>1.9548745974534469</v>
      </c>
    </row>
    <row r="29" spans="2:16" x14ac:dyDescent="0.45">
      <c r="B29" s="25" t="s">
        <v>153</v>
      </c>
      <c r="C29" s="26" t="s">
        <v>112</v>
      </c>
      <c r="D29" s="48">
        <f>SUM(F29:P29)</f>
        <v>75</v>
      </c>
      <c r="E29" s="28"/>
      <c r="F29" s="43">
        <f>-SmallCapex</f>
        <v>-55</v>
      </c>
      <c r="G29" s="43">
        <f t="shared" ref="G29:P29" si="8">Margin*MIN(G18,SmallCap)-SmallFixed</f>
        <v>13</v>
      </c>
      <c r="H29" s="43">
        <f t="shared" si="8"/>
        <v>13</v>
      </c>
      <c r="I29" s="43">
        <f t="shared" si="8"/>
        <v>13</v>
      </c>
      <c r="J29" s="43">
        <f t="shared" si="8"/>
        <v>13</v>
      </c>
      <c r="K29" s="43">
        <f t="shared" si="8"/>
        <v>13</v>
      </c>
      <c r="L29" s="43">
        <f t="shared" si="8"/>
        <v>13</v>
      </c>
      <c r="M29" s="43">
        <f t="shared" si="8"/>
        <v>13</v>
      </c>
      <c r="N29" s="43">
        <f t="shared" si="8"/>
        <v>13</v>
      </c>
      <c r="O29" s="43">
        <f t="shared" si="8"/>
        <v>13</v>
      </c>
      <c r="P29" s="43">
        <f t="shared" si="8"/>
        <v>13</v>
      </c>
    </row>
    <row r="30" spans="2:16" ht="8" customHeight="1" x14ac:dyDescent="0.45"/>
    <row r="31" spans="2:16" ht="22.05" customHeight="1" x14ac:dyDescent="0.5">
      <c r="B31" s="7" t="s">
        <v>155</v>
      </c>
      <c r="C31" s="8"/>
      <c r="D31" s="8"/>
      <c r="E31" s="8"/>
      <c r="F31" s="8"/>
      <c r="G31" s="8"/>
      <c r="H31" s="8"/>
      <c r="I31" s="8"/>
      <c r="J31" s="8"/>
      <c r="K31" s="8"/>
      <c r="L31" s="8"/>
      <c r="M31" s="8"/>
      <c r="N31" s="8"/>
      <c r="O31" s="8"/>
      <c r="P31" s="8"/>
    </row>
    <row r="32" spans="2:16" ht="18" customHeight="1" x14ac:dyDescent="0.45">
      <c r="B32" s="13" t="s">
        <v>156</v>
      </c>
    </row>
    <row r="33" spans="2:16" ht="18" customHeight="1" x14ac:dyDescent="0.45">
      <c r="B33" s="39" t="s">
        <v>139</v>
      </c>
      <c r="C33" s="39" t="s">
        <v>93</v>
      </c>
      <c r="D33" s="40" t="s">
        <v>140</v>
      </c>
      <c r="E33" s="5"/>
      <c r="F33" s="39" t="s">
        <v>141</v>
      </c>
      <c r="G33" s="5"/>
      <c r="H33" s="5"/>
      <c r="I33" s="5"/>
      <c r="J33" s="5"/>
      <c r="K33" s="5"/>
      <c r="L33" s="5"/>
      <c r="M33" s="5"/>
      <c r="N33" s="5"/>
      <c r="O33" s="5"/>
      <c r="P33" s="5"/>
    </row>
    <row r="34" spans="2:16" x14ac:dyDescent="0.45">
      <c r="B34" s="25" t="s">
        <v>157</v>
      </c>
      <c r="C34" s="26" t="s">
        <v>128</v>
      </c>
      <c r="D34" s="43" cm="1">
        <f t="array" aca="1" ref="D34" ca="1">INDEX(F16:P16,DecideYear+1)</f>
        <v>59.131438553056363</v>
      </c>
      <c r="E34" s="28"/>
      <c r="F34" s="26" t="s">
        <v>158</v>
      </c>
      <c r="G34" s="28"/>
      <c r="H34" s="28"/>
      <c r="I34" s="28"/>
      <c r="J34" s="28"/>
      <c r="K34" s="28"/>
      <c r="L34" s="28"/>
      <c r="M34" s="28"/>
      <c r="N34" s="28"/>
      <c r="O34" s="28"/>
      <c r="P34" s="28"/>
    </row>
    <row r="35" spans="2:16" x14ac:dyDescent="0.45">
      <c r="B35" s="25" t="s">
        <v>159</v>
      </c>
      <c r="C35" s="26"/>
      <c r="D35" s="49" t="str">
        <f ca="1">IF(DemDec&gt;=ExpandAt,"Expand",IF(DemDec&lt;=AbandonAt,"Sell","Carry on"))</f>
        <v>Carry on</v>
      </c>
      <c r="E35" s="28"/>
      <c r="F35" s="26" t="s">
        <v>160</v>
      </c>
      <c r="G35" s="28"/>
      <c r="H35" s="28"/>
      <c r="I35" s="28"/>
      <c r="J35" s="28"/>
      <c r="K35" s="28"/>
      <c r="L35" s="28"/>
      <c r="M35" s="28"/>
      <c r="N35" s="28"/>
      <c r="O35" s="28"/>
      <c r="P35" s="28"/>
    </row>
    <row r="36" spans="2:16" x14ac:dyDescent="0.45">
      <c r="B36" s="25" t="s">
        <v>161</v>
      </c>
      <c r="C36" s="26" t="s">
        <v>162</v>
      </c>
      <c r="D36" s="50" cm="1">
        <f t="array" aca="1" ref="D36" ca="1">_xll.VoseOutput("Expanded","1 = yes")+IF(Decision="Expand",1,0)</f>
        <v>0</v>
      </c>
      <c r="E36" s="28"/>
      <c r="F36" s="28"/>
      <c r="G36" s="28"/>
      <c r="H36" s="28"/>
      <c r="I36" s="28"/>
      <c r="J36" s="28"/>
      <c r="K36" s="28"/>
      <c r="L36" s="28"/>
      <c r="M36" s="28"/>
      <c r="N36" s="28"/>
      <c r="O36" s="28"/>
      <c r="P36" s="28"/>
    </row>
    <row r="37" spans="2:16" x14ac:dyDescent="0.45">
      <c r="B37" s="25" t="s">
        <v>163</v>
      </c>
      <c r="C37" s="26" t="s">
        <v>162</v>
      </c>
      <c r="D37" s="50" cm="1">
        <f t="array" aca="1" ref="D37" ca="1">_xll.VoseOutput("Plant sold","1 = yes")+IF(Decision="Sell",1,0)</f>
        <v>0</v>
      </c>
      <c r="E37" s="28"/>
      <c r="F37" s="28"/>
      <c r="G37" s="28"/>
      <c r="H37" s="28"/>
      <c r="I37" s="28"/>
      <c r="J37" s="28"/>
      <c r="K37" s="28"/>
      <c r="L37" s="28"/>
      <c r="M37" s="28"/>
      <c r="N37" s="28"/>
      <c r="O37" s="28"/>
      <c r="P37" s="28"/>
    </row>
    <row r="38" spans="2:16" x14ac:dyDescent="0.45">
      <c r="B38" s="25" t="s">
        <v>164</v>
      </c>
      <c r="C38" s="26" t="s">
        <v>128</v>
      </c>
      <c r="D38" s="43" cm="1">
        <f t="array" ref="D38">INDEX(F18:P18,DecideYear+1)</f>
        <v>106.08999999999999</v>
      </c>
      <c r="E38" s="28"/>
      <c r="F38" s="26" t="s">
        <v>165</v>
      </c>
      <c r="G38" s="28"/>
      <c r="H38" s="28"/>
      <c r="I38" s="28"/>
      <c r="J38" s="28"/>
      <c r="K38" s="28"/>
      <c r="L38" s="28"/>
      <c r="M38" s="28"/>
      <c r="N38" s="28"/>
      <c r="O38" s="28"/>
      <c r="P38" s="28"/>
    </row>
    <row r="39" spans="2:16" x14ac:dyDescent="0.45">
      <c r="B39" s="25" t="s">
        <v>166</v>
      </c>
      <c r="C39" s="26"/>
      <c r="D39" s="49" t="str">
        <f>IF(DemDecB&gt;=ExpandAt,"Expand",IF(DemDecB&lt;=AbandonAt,"Sell","Carry on"))</f>
        <v>Carry on</v>
      </c>
      <c r="E39" s="28"/>
      <c r="F39" s="26" t="s">
        <v>167</v>
      </c>
      <c r="G39" s="28"/>
      <c r="H39" s="28"/>
      <c r="I39" s="28"/>
      <c r="J39" s="28"/>
      <c r="K39" s="28"/>
      <c r="L39" s="28"/>
      <c r="M39" s="28"/>
      <c r="N39" s="28"/>
      <c r="O39" s="28"/>
      <c r="P39" s="28"/>
    </row>
    <row r="40" spans="2:16" ht="6" customHeight="1" x14ac:dyDescent="0.45"/>
    <row r="41" spans="2:16" ht="18" customHeight="1" x14ac:dyDescent="0.45">
      <c r="B41" s="51" t="s">
        <v>168</v>
      </c>
      <c r="C41" s="52"/>
      <c r="D41" s="52"/>
      <c r="E41" s="52"/>
      <c r="F41" s="53" t="s">
        <v>151</v>
      </c>
      <c r="G41" s="53" t="s">
        <v>169</v>
      </c>
      <c r="H41" s="53" t="s">
        <v>170</v>
      </c>
      <c r="I41" s="53" t="s">
        <v>171</v>
      </c>
      <c r="J41" s="5"/>
      <c r="K41" s="5"/>
      <c r="L41" s="5"/>
      <c r="M41" s="5"/>
      <c r="N41" s="5"/>
      <c r="O41" s="5"/>
      <c r="P41" s="5"/>
    </row>
    <row r="42" spans="2:16" x14ac:dyDescent="0.45">
      <c r="B42" s="54"/>
      <c r="C42" s="54"/>
      <c r="D42" s="54"/>
      <c r="E42" s="54"/>
      <c r="F42" s="54" t="s">
        <v>172</v>
      </c>
      <c r="G42" s="54" t="s">
        <v>172</v>
      </c>
      <c r="H42" s="54" t="s">
        <v>173</v>
      </c>
      <c r="I42" s="54" t="s">
        <v>174</v>
      </c>
    </row>
    <row r="43" spans="2:16" x14ac:dyDescent="0.45">
      <c r="B43" s="25" t="s">
        <v>175</v>
      </c>
      <c r="C43" s="28"/>
      <c r="D43" s="28"/>
      <c r="E43" s="28"/>
      <c r="F43" s="46">
        <f>SmallCap</f>
        <v>60</v>
      </c>
      <c r="G43" s="43">
        <f>SmallFixed</f>
        <v>5</v>
      </c>
      <c r="H43" s="43">
        <v>0</v>
      </c>
      <c r="I43" s="43">
        <v>0</v>
      </c>
      <c r="J43" s="28"/>
      <c r="K43" s="28"/>
      <c r="L43" s="28"/>
      <c r="M43" s="28"/>
      <c r="N43" s="28"/>
      <c r="O43" s="28"/>
      <c r="P43" s="28"/>
    </row>
    <row r="44" spans="2:16" x14ac:dyDescent="0.45">
      <c r="B44" s="25" t="s">
        <v>176</v>
      </c>
      <c r="C44" s="28"/>
      <c r="D44" s="28"/>
      <c r="E44" s="28"/>
      <c r="F44" s="46">
        <f>BigCap</f>
        <v>120</v>
      </c>
      <c r="G44" s="43">
        <f>BigFixed</f>
        <v>10</v>
      </c>
      <c r="H44" s="43">
        <v>0</v>
      </c>
      <c r="I44" s="43">
        <f>ExpCapex</f>
        <v>40</v>
      </c>
      <c r="J44" s="28"/>
      <c r="K44" s="28"/>
      <c r="L44" s="28"/>
      <c r="M44" s="28"/>
      <c r="N44" s="28"/>
      <c r="O44" s="28"/>
      <c r="P44" s="28"/>
    </row>
    <row r="45" spans="2:16" x14ac:dyDescent="0.45">
      <c r="B45" s="25" t="s">
        <v>177</v>
      </c>
      <c r="C45" s="28"/>
      <c r="D45" s="28"/>
      <c r="E45" s="28"/>
      <c r="F45" s="46">
        <v>0</v>
      </c>
      <c r="G45" s="43">
        <v>0</v>
      </c>
      <c r="H45" s="43">
        <f>Salvage</f>
        <v>35</v>
      </c>
      <c r="I45" s="43">
        <v>0</v>
      </c>
      <c r="J45" s="28"/>
      <c r="K45" s="28"/>
      <c r="L45" s="28"/>
      <c r="M45" s="28"/>
      <c r="N45" s="28"/>
      <c r="O45" s="28"/>
      <c r="P45" s="28"/>
    </row>
    <row r="46" spans="2:16" ht="6" customHeight="1" x14ac:dyDescent="0.45"/>
    <row r="47" spans="2:16" ht="18" customHeight="1" x14ac:dyDescent="0.45">
      <c r="B47" s="39" t="s">
        <v>139</v>
      </c>
      <c r="C47" s="39" t="s">
        <v>93</v>
      </c>
      <c r="D47" s="40" t="s">
        <v>140</v>
      </c>
      <c r="E47" s="5"/>
      <c r="F47" s="39" t="s">
        <v>141</v>
      </c>
      <c r="G47" s="5"/>
      <c r="H47" s="5"/>
      <c r="I47" s="5"/>
      <c r="J47" s="5"/>
      <c r="K47" s="5"/>
      <c r="L47" s="5"/>
      <c r="M47" s="5"/>
      <c r="N47" s="5"/>
      <c r="O47" s="5"/>
      <c r="P47" s="5"/>
    </row>
    <row r="48" spans="2:16" x14ac:dyDescent="0.45">
      <c r="B48" s="25" t="s">
        <v>178</v>
      </c>
      <c r="C48" s="26" t="s">
        <v>128</v>
      </c>
      <c r="D48" s="46">
        <f ca="1">INDEX(DecCap,MATCH(Decision,DecNames,0))</f>
        <v>60</v>
      </c>
      <c r="E48" s="28"/>
      <c r="F48" s="26" t="s">
        <v>179</v>
      </c>
      <c r="G48" s="28"/>
      <c r="H48" s="28"/>
      <c r="I48" s="28"/>
      <c r="J48" s="28"/>
      <c r="K48" s="28"/>
      <c r="L48" s="28"/>
      <c r="M48" s="28"/>
      <c r="N48" s="28"/>
      <c r="O48" s="28"/>
      <c r="P48" s="28"/>
    </row>
    <row r="49" spans="2:16" x14ac:dyDescent="0.45">
      <c r="B49" s="25" t="s">
        <v>180</v>
      </c>
      <c r="C49" s="26" t="s">
        <v>112</v>
      </c>
      <c r="D49" s="43">
        <f ca="1">INDEX(DecFixed,MATCH(Decision,DecNames,0))</f>
        <v>5</v>
      </c>
      <c r="E49" s="28"/>
      <c r="F49" s="28"/>
      <c r="G49" s="28"/>
      <c r="H49" s="28"/>
      <c r="I49" s="28"/>
      <c r="J49" s="28"/>
      <c r="K49" s="28"/>
      <c r="L49" s="28"/>
      <c r="M49" s="28"/>
      <c r="N49" s="28"/>
      <c r="O49" s="28"/>
      <c r="P49" s="28"/>
    </row>
    <row r="50" spans="2:16" x14ac:dyDescent="0.45">
      <c r="B50" s="25" t="s">
        <v>181</v>
      </c>
      <c r="C50" s="26" t="s">
        <v>112</v>
      </c>
      <c r="D50" s="43">
        <f ca="1">INDEX(DecCash,MATCH(Decision,DecNames,0))</f>
        <v>0</v>
      </c>
      <c r="E50" s="28"/>
      <c r="F50" s="28"/>
      <c r="G50" s="28"/>
      <c r="H50" s="28"/>
      <c r="I50" s="28"/>
      <c r="J50" s="28"/>
      <c r="K50" s="28"/>
      <c r="L50" s="28"/>
      <c r="M50" s="28"/>
      <c r="N50" s="28"/>
      <c r="O50" s="28"/>
      <c r="P50" s="28"/>
    </row>
    <row r="51" spans="2:16" x14ac:dyDescent="0.45">
      <c r="B51" s="25" t="s">
        <v>182</v>
      </c>
      <c r="C51" s="26" t="s">
        <v>112</v>
      </c>
      <c r="D51" s="43">
        <f ca="1">INDEX(DecInvest,MATCH(Decision,DecNames,0))</f>
        <v>0</v>
      </c>
      <c r="E51" s="28"/>
      <c r="F51" s="28"/>
      <c r="G51" s="28"/>
      <c r="H51" s="28"/>
      <c r="I51" s="28"/>
      <c r="J51" s="28"/>
      <c r="K51" s="28"/>
      <c r="L51" s="28"/>
      <c r="M51" s="28"/>
      <c r="N51" s="28"/>
      <c r="O51" s="28"/>
      <c r="P51" s="28"/>
    </row>
    <row r="52" spans="2:16" x14ac:dyDescent="0.45">
      <c r="B52" s="25" t="s">
        <v>183</v>
      </c>
      <c r="C52" s="26" t="s">
        <v>128</v>
      </c>
      <c r="D52" s="46">
        <f>INDEX(DecCap,MATCH(DecisionB,DecNames,0))</f>
        <v>60</v>
      </c>
      <c r="E52" s="28"/>
      <c r="F52" s="26" t="s">
        <v>179</v>
      </c>
      <c r="G52" s="28"/>
      <c r="H52" s="28"/>
      <c r="I52" s="28"/>
      <c r="J52" s="28"/>
      <c r="K52" s="28"/>
      <c r="L52" s="28"/>
      <c r="M52" s="28"/>
      <c r="N52" s="28"/>
      <c r="O52" s="28"/>
      <c r="P52" s="28"/>
    </row>
    <row r="53" spans="2:16" x14ac:dyDescent="0.45">
      <c r="B53" s="25" t="s">
        <v>184</v>
      </c>
      <c r="C53" s="26" t="s">
        <v>112</v>
      </c>
      <c r="D53" s="43">
        <f>INDEX(DecFixed,MATCH(DecisionB,DecNames,0))</f>
        <v>5</v>
      </c>
      <c r="E53" s="28"/>
      <c r="F53" s="28"/>
      <c r="G53" s="28"/>
      <c r="H53" s="28"/>
      <c r="I53" s="28"/>
      <c r="J53" s="28"/>
      <c r="K53" s="28"/>
      <c r="L53" s="28"/>
      <c r="M53" s="28"/>
      <c r="N53" s="28"/>
      <c r="O53" s="28"/>
      <c r="P53" s="28"/>
    </row>
    <row r="54" spans="2:16" x14ac:dyDescent="0.45">
      <c r="B54" s="25" t="s">
        <v>185</v>
      </c>
      <c r="C54" s="26" t="s">
        <v>112</v>
      </c>
      <c r="D54" s="43">
        <f>INDEX(DecCash,MATCH(DecisionB,DecNames,0))</f>
        <v>0</v>
      </c>
      <c r="E54" s="28"/>
      <c r="F54" s="28"/>
      <c r="G54" s="28"/>
      <c r="H54" s="28"/>
      <c r="I54" s="28"/>
      <c r="J54" s="28"/>
      <c r="K54" s="28"/>
      <c r="L54" s="28"/>
      <c r="M54" s="28"/>
      <c r="N54" s="28"/>
      <c r="O54" s="28"/>
      <c r="P54" s="28"/>
    </row>
    <row r="55" spans="2:16" x14ac:dyDescent="0.45">
      <c r="B55" s="25" t="s">
        <v>186</v>
      </c>
      <c r="C55" s="26" t="s">
        <v>112</v>
      </c>
      <c r="D55" s="43">
        <f>INDEX(DecInvest,MATCH(DecisionB,DecNames,0))</f>
        <v>0</v>
      </c>
      <c r="E55" s="28"/>
      <c r="F55" s="28"/>
      <c r="G55" s="28"/>
      <c r="H55" s="28"/>
      <c r="I55" s="28"/>
      <c r="J55" s="28"/>
      <c r="K55" s="28"/>
      <c r="L55" s="28"/>
      <c r="M55" s="28"/>
      <c r="N55" s="28"/>
      <c r="O55" s="28"/>
      <c r="P55" s="28"/>
    </row>
    <row r="56" spans="2:16" ht="6" customHeight="1" x14ac:dyDescent="0.45"/>
    <row r="57" spans="2:16" x14ac:dyDescent="0.45">
      <c r="B57" s="25" t="s">
        <v>151</v>
      </c>
      <c r="C57" s="26" t="s">
        <v>128</v>
      </c>
      <c r="D57" s="28"/>
      <c r="E57" s="28"/>
      <c r="F57" s="46"/>
      <c r="G57" s="46">
        <f t="shared" ref="G57:P57" si="9">IF(G$6&lt;=DecideYear,SmallCap,CapAfter)</f>
        <v>60</v>
      </c>
      <c r="H57" s="46">
        <f t="shared" si="9"/>
        <v>60</v>
      </c>
      <c r="I57" s="46">
        <f t="shared" ca="1" si="9"/>
        <v>60</v>
      </c>
      <c r="J57" s="46">
        <f t="shared" ca="1" si="9"/>
        <v>60</v>
      </c>
      <c r="K57" s="46">
        <f t="shared" ca="1" si="9"/>
        <v>60</v>
      </c>
      <c r="L57" s="46">
        <f t="shared" ca="1" si="9"/>
        <v>60</v>
      </c>
      <c r="M57" s="46">
        <f t="shared" ca="1" si="9"/>
        <v>60</v>
      </c>
      <c r="N57" s="46">
        <f t="shared" ca="1" si="9"/>
        <v>60</v>
      </c>
      <c r="O57" s="46">
        <f t="shared" ca="1" si="9"/>
        <v>60</v>
      </c>
      <c r="P57" s="46">
        <f t="shared" ca="1" si="9"/>
        <v>60</v>
      </c>
    </row>
    <row r="58" spans="2:16" x14ac:dyDescent="0.45">
      <c r="B58" s="25" t="s">
        <v>169</v>
      </c>
      <c r="C58" s="26" t="s">
        <v>112</v>
      </c>
      <c r="D58" s="28"/>
      <c r="E58" s="28"/>
      <c r="F58" s="43"/>
      <c r="G58" s="43">
        <f t="shared" ref="G58:P58" si="10">IF(G$6&lt;=DecideYear,SmallFixed,FixAfter)</f>
        <v>5</v>
      </c>
      <c r="H58" s="43">
        <f t="shared" si="10"/>
        <v>5</v>
      </c>
      <c r="I58" s="43">
        <f t="shared" ca="1" si="10"/>
        <v>5</v>
      </c>
      <c r="J58" s="43">
        <f t="shared" ca="1" si="10"/>
        <v>5</v>
      </c>
      <c r="K58" s="43">
        <f t="shared" ca="1" si="10"/>
        <v>5</v>
      </c>
      <c r="L58" s="43">
        <f t="shared" ca="1" si="10"/>
        <v>5</v>
      </c>
      <c r="M58" s="43">
        <f t="shared" ca="1" si="10"/>
        <v>5</v>
      </c>
      <c r="N58" s="43">
        <f t="shared" ca="1" si="10"/>
        <v>5</v>
      </c>
      <c r="O58" s="43">
        <f t="shared" ca="1" si="10"/>
        <v>5</v>
      </c>
      <c r="P58" s="43">
        <f t="shared" ca="1" si="10"/>
        <v>5</v>
      </c>
    </row>
    <row r="59" spans="2:16" x14ac:dyDescent="0.45">
      <c r="B59" s="25" t="s">
        <v>187</v>
      </c>
      <c r="C59" s="26" t="s">
        <v>112</v>
      </c>
      <c r="D59" s="28"/>
      <c r="E59" s="28"/>
      <c r="F59" s="43"/>
      <c r="G59" s="43">
        <f t="shared" ref="G59:P59" si="11">IF(G$6=DecideYear,CashAt,0)</f>
        <v>0</v>
      </c>
      <c r="H59" s="43">
        <f t="shared" ca="1" si="11"/>
        <v>0</v>
      </c>
      <c r="I59" s="43">
        <f t="shared" si="11"/>
        <v>0</v>
      </c>
      <c r="J59" s="43">
        <f t="shared" si="11"/>
        <v>0</v>
      </c>
      <c r="K59" s="43">
        <f t="shared" si="11"/>
        <v>0</v>
      </c>
      <c r="L59" s="43">
        <f t="shared" si="11"/>
        <v>0</v>
      </c>
      <c r="M59" s="43">
        <f t="shared" si="11"/>
        <v>0</v>
      </c>
      <c r="N59" s="43">
        <f t="shared" si="11"/>
        <v>0</v>
      </c>
      <c r="O59" s="43">
        <f t="shared" si="11"/>
        <v>0</v>
      </c>
      <c r="P59" s="43">
        <f t="shared" si="11"/>
        <v>0</v>
      </c>
    </row>
    <row r="60" spans="2:16" x14ac:dyDescent="0.45">
      <c r="B60" s="25" t="s">
        <v>188</v>
      </c>
      <c r="C60" s="26" t="s">
        <v>112</v>
      </c>
      <c r="D60" s="28"/>
      <c r="E60" s="28"/>
      <c r="F60" s="43"/>
      <c r="G60" s="43">
        <f t="shared" ref="G60:P60" si="12">IF(G$6=DecideYear+1,-InvestAfter,0)</f>
        <v>0</v>
      </c>
      <c r="H60" s="43">
        <f t="shared" si="12"/>
        <v>0</v>
      </c>
      <c r="I60" s="43">
        <f t="shared" ca="1" si="12"/>
        <v>0</v>
      </c>
      <c r="J60" s="43">
        <f t="shared" si="12"/>
        <v>0</v>
      </c>
      <c r="K60" s="43">
        <f t="shared" si="12"/>
        <v>0</v>
      </c>
      <c r="L60" s="43">
        <f t="shared" si="12"/>
        <v>0</v>
      </c>
      <c r="M60" s="43">
        <f t="shared" si="12"/>
        <v>0</v>
      </c>
      <c r="N60" s="43">
        <f t="shared" si="12"/>
        <v>0</v>
      </c>
      <c r="O60" s="43">
        <f t="shared" si="12"/>
        <v>0</v>
      </c>
      <c r="P60" s="43">
        <f t="shared" si="12"/>
        <v>0</v>
      </c>
    </row>
    <row r="61" spans="2:16" x14ac:dyDescent="0.45">
      <c r="B61" s="47" t="s">
        <v>152</v>
      </c>
      <c r="C61" s="26" t="s">
        <v>112</v>
      </c>
      <c r="D61" s="48">
        <f ca="1">SUM(F61:P61)</f>
        <v>-12.187522804804672</v>
      </c>
      <c r="E61" s="28"/>
      <c r="F61" s="48">
        <f>-SmallCapex</f>
        <v>-55</v>
      </c>
      <c r="G61" s="48">
        <f t="shared" ref="G61:P61" ca="1" si="13">Margin*MIN(G16,G57)-G58+G59+G60</f>
        <v>13</v>
      </c>
      <c r="H61" s="48">
        <f t="shared" ca="1" si="13"/>
        <v>12.73943156591691</v>
      </c>
      <c r="I61" s="48">
        <f t="shared" ca="1" si="13"/>
        <v>13</v>
      </c>
      <c r="J61" s="48">
        <f t="shared" ca="1" si="13"/>
        <v>2.3909604720422752</v>
      </c>
      <c r="K61" s="48">
        <f t="shared" ca="1" si="13"/>
        <v>-0.37330914680213922</v>
      </c>
      <c r="L61" s="48">
        <f t="shared" ca="1" si="13"/>
        <v>0.21939270537724731</v>
      </c>
      <c r="M61" s="48">
        <f t="shared" ca="1" si="13"/>
        <v>-0.97799457450928351</v>
      </c>
      <c r="N61" s="48">
        <f t="shared" ca="1" si="13"/>
        <v>0.44283428414941461</v>
      </c>
      <c r="O61" s="48">
        <f t="shared" ca="1" si="13"/>
        <v>0.41628729156745603</v>
      </c>
      <c r="P61" s="48">
        <f t="shared" ca="1" si="13"/>
        <v>1.9548745974534469</v>
      </c>
    </row>
    <row r="62" spans="2:16" ht="6" customHeight="1" x14ac:dyDescent="0.45"/>
    <row r="63" spans="2:16" x14ac:dyDescent="0.45">
      <c r="B63" s="25" t="s">
        <v>189</v>
      </c>
      <c r="C63" s="26" t="s">
        <v>128</v>
      </c>
      <c r="D63" s="28"/>
      <c r="E63" s="28"/>
      <c r="F63" s="46"/>
      <c r="G63" s="46">
        <f t="shared" ref="G63:P63" si="14">IF(G$6&lt;=DecideYear,SmallCap,CapAfterB)</f>
        <v>60</v>
      </c>
      <c r="H63" s="46">
        <f t="shared" si="14"/>
        <v>60</v>
      </c>
      <c r="I63" s="46">
        <f t="shared" si="14"/>
        <v>60</v>
      </c>
      <c r="J63" s="46">
        <f t="shared" si="14"/>
        <v>60</v>
      </c>
      <c r="K63" s="46">
        <f t="shared" si="14"/>
        <v>60</v>
      </c>
      <c r="L63" s="46">
        <f t="shared" si="14"/>
        <v>60</v>
      </c>
      <c r="M63" s="46">
        <f t="shared" si="14"/>
        <v>60</v>
      </c>
      <c r="N63" s="46">
        <f t="shared" si="14"/>
        <v>60</v>
      </c>
      <c r="O63" s="46">
        <f t="shared" si="14"/>
        <v>60</v>
      </c>
      <c r="P63" s="46">
        <f t="shared" si="14"/>
        <v>60</v>
      </c>
    </row>
    <row r="64" spans="2:16" x14ac:dyDescent="0.45">
      <c r="B64" s="25" t="s">
        <v>190</v>
      </c>
      <c r="C64" s="26" t="s">
        <v>112</v>
      </c>
      <c r="D64" s="28"/>
      <c r="E64" s="28"/>
      <c r="F64" s="43"/>
      <c r="G64" s="43">
        <f t="shared" ref="G64:P64" si="15">IF(G$6&lt;=DecideYear,SmallFixed,FixAfterB)</f>
        <v>5</v>
      </c>
      <c r="H64" s="43">
        <f t="shared" si="15"/>
        <v>5</v>
      </c>
      <c r="I64" s="43">
        <f t="shared" si="15"/>
        <v>5</v>
      </c>
      <c r="J64" s="43">
        <f t="shared" si="15"/>
        <v>5</v>
      </c>
      <c r="K64" s="43">
        <f t="shared" si="15"/>
        <v>5</v>
      </c>
      <c r="L64" s="43">
        <f t="shared" si="15"/>
        <v>5</v>
      </c>
      <c r="M64" s="43">
        <f t="shared" si="15"/>
        <v>5</v>
      </c>
      <c r="N64" s="43">
        <f t="shared" si="15"/>
        <v>5</v>
      </c>
      <c r="O64" s="43">
        <f t="shared" si="15"/>
        <v>5</v>
      </c>
      <c r="P64" s="43">
        <f t="shared" si="15"/>
        <v>5</v>
      </c>
    </row>
    <row r="65" spans="2:16" x14ac:dyDescent="0.45">
      <c r="B65" s="25" t="s">
        <v>191</v>
      </c>
      <c r="C65" s="26" t="s">
        <v>112</v>
      </c>
      <c r="D65" s="28"/>
      <c r="E65" s="28"/>
      <c r="F65" s="43"/>
      <c r="G65" s="43">
        <f t="shared" ref="G65:P65" si="16">IF(G$6=DecideYear,CashAtB,0)</f>
        <v>0</v>
      </c>
      <c r="H65" s="43">
        <f t="shared" si="16"/>
        <v>0</v>
      </c>
      <c r="I65" s="43">
        <f t="shared" si="16"/>
        <v>0</v>
      </c>
      <c r="J65" s="43">
        <f t="shared" si="16"/>
        <v>0</v>
      </c>
      <c r="K65" s="43">
        <f t="shared" si="16"/>
        <v>0</v>
      </c>
      <c r="L65" s="43">
        <f t="shared" si="16"/>
        <v>0</v>
      </c>
      <c r="M65" s="43">
        <f t="shared" si="16"/>
        <v>0</v>
      </c>
      <c r="N65" s="43">
        <f t="shared" si="16"/>
        <v>0</v>
      </c>
      <c r="O65" s="43">
        <f t="shared" si="16"/>
        <v>0</v>
      </c>
      <c r="P65" s="43">
        <f t="shared" si="16"/>
        <v>0</v>
      </c>
    </row>
    <row r="66" spans="2:16" x14ac:dyDescent="0.45">
      <c r="B66" s="25" t="s">
        <v>192</v>
      </c>
      <c r="C66" s="26" t="s">
        <v>112</v>
      </c>
      <c r="D66" s="28"/>
      <c r="E66" s="28"/>
      <c r="F66" s="43"/>
      <c r="G66" s="43">
        <f t="shared" ref="G66:P66" si="17">IF(G$6=DecideYear+1,-InvestAfterB,0)</f>
        <v>0</v>
      </c>
      <c r="H66" s="43">
        <f t="shared" si="17"/>
        <v>0</v>
      </c>
      <c r="I66" s="43">
        <f t="shared" si="17"/>
        <v>0</v>
      </c>
      <c r="J66" s="43">
        <f t="shared" si="17"/>
        <v>0</v>
      </c>
      <c r="K66" s="43">
        <f t="shared" si="17"/>
        <v>0</v>
      </c>
      <c r="L66" s="43">
        <f t="shared" si="17"/>
        <v>0</v>
      </c>
      <c r="M66" s="43">
        <f t="shared" si="17"/>
        <v>0</v>
      </c>
      <c r="N66" s="43">
        <f t="shared" si="17"/>
        <v>0</v>
      </c>
      <c r="O66" s="43">
        <f t="shared" si="17"/>
        <v>0</v>
      </c>
      <c r="P66" s="43">
        <f t="shared" si="17"/>
        <v>0</v>
      </c>
    </row>
    <row r="67" spans="2:16" x14ac:dyDescent="0.45">
      <c r="B67" s="25" t="s">
        <v>193</v>
      </c>
      <c r="C67" s="26" t="s">
        <v>112</v>
      </c>
      <c r="D67" s="48">
        <f>SUM(F67:P67)</f>
        <v>75</v>
      </c>
      <c r="E67" s="28"/>
      <c r="F67" s="43">
        <f>-SmallCapex</f>
        <v>-55</v>
      </c>
      <c r="G67" s="43">
        <f t="shared" ref="G67:P67" si="18">Margin*MIN(G18,G63)-G64+G65+G66</f>
        <v>13</v>
      </c>
      <c r="H67" s="43">
        <f t="shared" si="18"/>
        <v>13</v>
      </c>
      <c r="I67" s="43">
        <f t="shared" si="18"/>
        <v>13</v>
      </c>
      <c r="J67" s="43">
        <f t="shared" si="18"/>
        <v>13</v>
      </c>
      <c r="K67" s="43">
        <f t="shared" si="18"/>
        <v>13</v>
      </c>
      <c r="L67" s="43">
        <f t="shared" si="18"/>
        <v>13</v>
      </c>
      <c r="M67" s="43">
        <f t="shared" si="18"/>
        <v>13</v>
      </c>
      <c r="N67" s="43">
        <f t="shared" si="18"/>
        <v>13</v>
      </c>
      <c r="O67" s="43">
        <f t="shared" si="18"/>
        <v>13</v>
      </c>
      <c r="P67" s="43">
        <f t="shared" si="18"/>
        <v>13</v>
      </c>
    </row>
    <row r="68" spans="2:16" ht="8" customHeight="1" x14ac:dyDescent="0.45"/>
    <row r="69" spans="2:16" ht="22.05" customHeight="1" x14ac:dyDescent="0.5">
      <c r="B69" s="7" t="s">
        <v>194</v>
      </c>
      <c r="C69" s="8"/>
      <c r="D69" s="8"/>
      <c r="E69" s="8"/>
      <c r="F69" s="8"/>
      <c r="G69" s="8"/>
      <c r="H69" s="8"/>
      <c r="I69" s="8"/>
      <c r="J69" s="8"/>
      <c r="K69" s="8"/>
      <c r="L69" s="8"/>
      <c r="M69" s="8"/>
      <c r="N69" s="8"/>
      <c r="O69" s="8"/>
      <c r="P69" s="8"/>
    </row>
    <row r="70" spans="2:16" ht="18" customHeight="1" x14ac:dyDescent="0.45">
      <c r="B70" s="13" t="s">
        <v>195</v>
      </c>
    </row>
    <row r="71" spans="2:16" ht="18" customHeight="1" x14ac:dyDescent="0.45">
      <c r="B71" s="39" t="s">
        <v>196</v>
      </c>
      <c r="C71" s="39" t="s">
        <v>93</v>
      </c>
      <c r="D71" s="40" t="s">
        <v>140</v>
      </c>
      <c r="E71" s="5"/>
      <c r="F71" s="39" t="s">
        <v>197</v>
      </c>
      <c r="G71" s="5"/>
      <c r="H71" s="5"/>
      <c r="I71" s="5"/>
      <c r="J71" s="5"/>
      <c r="K71" s="5"/>
      <c r="L71" s="5"/>
      <c r="M71" s="5"/>
      <c r="N71" s="5"/>
      <c r="O71" s="5"/>
      <c r="P71" s="5"/>
    </row>
    <row r="72" spans="2:16" x14ac:dyDescent="0.45">
      <c r="B72" s="25" t="s">
        <v>198</v>
      </c>
      <c r="C72" s="26" t="s">
        <v>112</v>
      </c>
      <c r="D72" s="45" cm="1">
        <f t="array" aca="1" ref="D72" ca="1">_xll.VoseOutput("NPV build big now","US$m")+SUMPRODUCT(F23:P23,F19:P19)</f>
        <v>-84.541717382748416</v>
      </c>
      <c r="E72" s="28"/>
      <c r="F72" s="26"/>
      <c r="G72" s="28"/>
      <c r="H72" s="28"/>
      <c r="I72" s="28"/>
      <c r="J72" s="28"/>
      <c r="K72" s="28"/>
      <c r="L72" s="28"/>
      <c r="M72" s="28"/>
      <c r="N72" s="28"/>
      <c r="O72" s="28"/>
      <c r="P72" s="28"/>
    </row>
    <row r="73" spans="2:16" x14ac:dyDescent="0.45">
      <c r="B73" s="25" t="s">
        <v>199</v>
      </c>
      <c r="C73" s="26" t="s">
        <v>112</v>
      </c>
      <c r="D73" s="45" cm="1">
        <f t="array" aca="1" ref="D73" ca="1">_xll.VoseOutput("NPV build small","US$m")+SUMPRODUCT(F28:P28,F19:P19)</f>
        <v>-20.025799071712523</v>
      </c>
      <c r="E73" s="28"/>
      <c r="F73" s="26"/>
      <c r="G73" s="28"/>
      <c r="H73" s="28"/>
      <c r="I73" s="28"/>
      <c r="J73" s="28"/>
      <c r="K73" s="28"/>
      <c r="L73" s="28"/>
      <c r="M73" s="28"/>
      <c r="N73" s="28"/>
      <c r="O73" s="28"/>
      <c r="P73" s="28"/>
    </row>
    <row r="74" spans="2:16" x14ac:dyDescent="0.45">
      <c r="B74" s="25" t="s">
        <v>200</v>
      </c>
      <c r="C74" s="26" t="s">
        <v>112</v>
      </c>
      <c r="D74" s="45" cm="1">
        <f t="array" aca="1" ref="D74" ca="1">_xll.VoseOutput("NPV staged with options","US$m")+SUMPRODUCT(F61:P61,F19:P19)</f>
        <v>-20.025799071712523</v>
      </c>
      <c r="E74" s="28"/>
      <c r="F74" s="26"/>
      <c r="G74" s="28"/>
      <c r="H74" s="28"/>
      <c r="I74" s="28"/>
      <c r="J74" s="28"/>
      <c r="K74" s="28"/>
      <c r="L74" s="28"/>
      <c r="M74" s="28"/>
      <c r="N74" s="28"/>
      <c r="O74" s="28"/>
      <c r="P74" s="28"/>
    </row>
    <row r="75" spans="2:16" x14ac:dyDescent="0.45">
      <c r="B75" s="25" t="s">
        <v>201</v>
      </c>
      <c r="C75" s="26" t="s">
        <v>112</v>
      </c>
      <c r="D75" s="43">
        <f>SUMPRODUCT(F24:P24,F19:P19)</f>
        <v>63.699229914072625</v>
      </c>
      <c r="E75" s="28"/>
      <c r="F75" s="26" t="s">
        <v>202</v>
      </c>
      <c r="G75" s="28"/>
      <c r="H75" s="28"/>
      <c r="I75" s="28"/>
      <c r="J75" s="28"/>
      <c r="K75" s="28"/>
      <c r="L75" s="28"/>
      <c r="M75" s="28"/>
      <c r="N75" s="28"/>
      <c r="O75" s="28"/>
      <c r="P75" s="28"/>
    </row>
    <row r="76" spans="2:16" x14ac:dyDescent="0.45">
      <c r="B76" s="25" t="s">
        <v>203</v>
      </c>
      <c r="C76" s="26" t="s">
        <v>112</v>
      </c>
      <c r="D76" s="43">
        <f>SUMPRODUCT(F29:P29,F19:P19)</f>
        <v>28.429550115067105</v>
      </c>
      <c r="E76" s="28"/>
      <c r="F76" s="26"/>
      <c r="G76" s="28"/>
      <c r="H76" s="28"/>
      <c r="I76" s="28"/>
      <c r="J76" s="28"/>
      <c r="K76" s="28"/>
      <c r="L76" s="28"/>
      <c r="M76" s="28"/>
      <c r="N76" s="28"/>
      <c r="O76" s="28"/>
      <c r="P76" s="28"/>
    </row>
    <row r="77" spans="2:16" x14ac:dyDescent="0.45">
      <c r="B77" s="25" t="s">
        <v>204</v>
      </c>
      <c r="C77" s="26" t="s">
        <v>112</v>
      </c>
      <c r="D77" s="43">
        <f>SUMPRODUCT(F67:P67,F19:P19)</f>
        <v>28.429550115067105</v>
      </c>
      <c r="E77" s="28"/>
      <c r="F77" s="26" t="s">
        <v>205</v>
      </c>
      <c r="G77" s="28"/>
      <c r="H77" s="28"/>
      <c r="I77" s="28"/>
      <c r="J77" s="28"/>
      <c r="K77" s="28"/>
      <c r="L77" s="28"/>
      <c r="M77" s="28"/>
      <c r="N77" s="28"/>
      <c r="O77" s="28"/>
      <c r="P77" s="28"/>
    </row>
    <row r="78" spans="2:16" ht="8" customHeight="1" x14ac:dyDescent="0.45"/>
    <row r="79" spans="2:16" ht="22.05" customHeight="1" x14ac:dyDescent="0.5">
      <c r="B79" s="7" t="s">
        <v>206</v>
      </c>
      <c r="C79" s="8"/>
      <c r="D79" s="8"/>
      <c r="E79" s="8"/>
      <c r="F79" s="8"/>
      <c r="G79" s="8"/>
      <c r="H79" s="8"/>
      <c r="I79" s="8"/>
      <c r="J79" s="8"/>
      <c r="K79" s="8"/>
      <c r="L79" s="8"/>
      <c r="M79" s="8"/>
      <c r="N79" s="8"/>
      <c r="O79" s="8"/>
      <c r="P79" s="8"/>
    </row>
    <row r="80" spans="2:16" ht="18" customHeight="1" x14ac:dyDescent="0.45">
      <c r="B80" s="13" t="s">
        <v>207</v>
      </c>
    </row>
    <row r="81" spans="2:16" x14ac:dyDescent="0.45">
      <c r="B81" s="25" t="s">
        <v>208</v>
      </c>
      <c r="C81" s="28"/>
      <c r="D81" s="55" t="str">
        <f>IF(ExpandAt&gt;AbandonAt,"OK","CHECK")</f>
        <v>OK</v>
      </c>
      <c r="E81" s="28"/>
      <c r="F81" s="28"/>
      <c r="G81" s="28"/>
      <c r="H81" s="28"/>
      <c r="I81" s="28"/>
      <c r="J81" s="28"/>
      <c r="K81" s="28"/>
      <c r="L81" s="28"/>
      <c r="M81" s="28"/>
      <c r="N81" s="28"/>
      <c r="O81" s="28"/>
      <c r="P81" s="28"/>
    </row>
    <row r="82" spans="2:16" x14ac:dyDescent="0.45">
      <c r="B82" s="25" t="s">
        <v>209</v>
      </c>
      <c r="C82" s="28"/>
      <c r="D82" s="55" t="str">
        <f>IF(BigCap&gt;SmallCap,"OK","CHECK")</f>
        <v>OK</v>
      </c>
      <c r="E82" s="28"/>
      <c r="F82" s="28"/>
      <c r="G82" s="28"/>
      <c r="H82" s="28"/>
      <c r="I82" s="28"/>
      <c r="J82" s="28"/>
      <c r="K82" s="28"/>
      <c r="L82" s="28"/>
      <c r="M82" s="28"/>
      <c r="N82" s="28"/>
      <c r="O82" s="28"/>
      <c r="P82" s="28"/>
    </row>
    <row r="83" spans="2:16" ht="14" customHeight="1" x14ac:dyDescent="0.45"/>
  </sheetData>
  <conditionalFormatting sqref="D81:D82">
    <cfRule type="expression" dxfId="4" priority="1">
      <formula>D81="CHECK"</formula>
    </cfRule>
  </conditionalFormatting>
  <hyperlinks>
    <hyperlink ref="B4" location="'Inputs'!A1" display="◂  Inputs" xr:uid="{00000000-0004-0000-0200-000000000000}"/>
    <hyperlink ref="P4" location="'Results'!A1" display="Next:  Results  ▸" xr:uid="{00000000-0004-0000-0200-000001000000}"/>
  </hyperlinks>
  <printOptions horizontalCentered="1"/>
  <pageMargins left="0.4" right="0.4" top="0.5" bottom="0.6" header="0.25" footer="0.25"/>
  <pageSetup paperSize="9" scale="6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210</v>
      </c>
      <c r="C3" s="1"/>
      <c r="D3" s="1"/>
      <c r="E3" s="1"/>
      <c r="F3" s="1"/>
      <c r="G3" s="1"/>
      <c r="H3" s="1"/>
      <c r="I3" s="1"/>
      <c r="J3" s="1"/>
      <c r="K3" s="1"/>
      <c r="L3" s="1"/>
      <c r="M3" s="1"/>
      <c r="N3" s="1"/>
      <c r="O3" s="1"/>
      <c r="P3" s="1"/>
      <c r="Q3" s="1"/>
      <c r="R3" s="1"/>
    </row>
    <row r="4" spans="1:18" ht="20" customHeight="1" x14ac:dyDescent="0.45">
      <c r="A4" s="5"/>
      <c r="B4" s="22" t="s">
        <v>211</v>
      </c>
      <c r="C4" s="5"/>
      <c r="D4" s="5"/>
      <c r="E4" s="5"/>
      <c r="F4" s="5"/>
      <c r="G4" s="5"/>
      <c r="H4" s="5"/>
      <c r="I4" s="5"/>
      <c r="J4" s="5"/>
      <c r="K4" s="5"/>
      <c r="L4" s="5"/>
      <c r="M4" s="5"/>
      <c r="N4" s="5"/>
      <c r="O4" s="5"/>
      <c r="P4" s="5"/>
      <c r="Q4" s="5"/>
      <c r="R4" s="5"/>
    </row>
    <row r="5" spans="1:18" ht="8" customHeight="1" x14ac:dyDescent="0.45"/>
    <row r="6" spans="1:18" ht="26" customHeight="1" x14ac:dyDescent="0.45">
      <c r="B6" s="56" t="str" cm="1">
        <f t="array" aca="1" ref="B6" ca="1">IF(ISNUMBER(_xll.VoseSimMean(NPV_C)),"✔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7"/>
      <c r="D6" s="57"/>
      <c r="E6" s="57"/>
      <c r="F6" s="57"/>
      <c r="G6" s="57"/>
    </row>
    <row r="7" spans="1:18" x14ac:dyDescent="0.45">
      <c r="B7" s="5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212</v>
      </c>
      <c r="C9" s="8"/>
      <c r="D9" s="8"/>
      <c r="E9" s="8"/>
      <c r="F9" s="8"/>
      <c r="G9" s="8"/>
      <c r="I9" s="59" t="s">
        <v>213</v>
      </c>
      <c r="J9" s="8"/>
      <c r="K9" s="8"/>
      <c r="L9" s="8"/>
      <c r="M9" s="8"/>
      <c r="N9" s="8"/>
      <c r="O9" s="8"/>
      <c r="P9" s="8"/>
      <c r="Q9" s="8"/>
      <c r="R9" s="8"/>
    </row>
    <row r="10" spans="1:18" ht="18" customHeight="1" x14ac:dyDescent="0.45">
      <c r="B10" s="13" t="s">
        <v>214</v>
      </c>
    </row>
    <row r="11" spans="1:18" ht="18" customHeight="1" x14ac:dyDescent="0.45">
      <c r="B11" s="60" t="s">
        <v>215</v>
      </c>
      <c r="C11" s="61" t="s">
        <v>216</v>
      </c>
      <c r="D11" s="61" t="s">
        <v>217</v>
      </c>
      <c r="E11" s="61" t="s">
        <v>218</v>
      </c>
      <c r="F11" s="61" t="s">
        <v>219</v>
      </c>
      <c r="G11" s="61" t="s">
        <v>220</v>
      </c>
    </row>
    <row r="12" spans="1:18" x14ac:dyDescent="0.45">
      <c r="B12" s="54"/>
      <c r="C12" s="54" t="s">
        <v>221</v>
      </c>
      <c r="D12" s="54" t="s">
        <v>222</v>
      </c>
      <c r="E12" s="54"/>
      <c r="F12" s="54"/>
      <c r="G12" s="54" t="s">
        <v>223</v>
      </c>
    </row>
    <row r="13" spans="1:18" x14ac:dyDescent="0.45">
      <c r="B13" s="25" t="s">
        <v>224</v>
      </c>
      <c r="C13" s="43">
        <f>Base_A</f>
        <v>63.699229914072625</v>
      </c>
      <c r="D13" s="62" cm="1">
        <f t="array" aca="1" ref="D13" ca="1">_xll.VoseSimMean(NPV_A)</f>
        <v>16.094900605356166</v>
      </c>
      <c r="E13" s="62" cm="1">
        <f t="array" aca="1" ref="E13" ca="1">_xll.VoseSimPercentile(NPV_A,0.1)</f>
        <v>-54.990253928375431</v>
      </c>
      <c r="F13" s="62" cm="1">
        <f t="array" aca="1" ref="F13" ca="1">_xll.VoseSimPercentile(NPV_A,0.9)</f>
        <v>74.340796191268623</v>
      </c>
      <c r="G13" s="63" cm="1">
        <f t="array" aca="1" ref="G13" ca="1">_xll.VoseSimProbability(NPV_A,0)</f>
        <v>0.36366363363663634</v>
      </c>
    </row>
    <row r="14" spans="1:18" x14ac:dyDescent="0.45">
      <c r="B14" s="25" t="s">
        <v>225</v>
      </c>
      <c r="C14" s="43">
        <f>Base_B</f>
        <v>28.429550115067105</v>
      </c>
      <c r="D14" s="62" cm="1">
        <f t="array" aca="1" ref="D14" ca="1">_xll.VoseSimMean(NPV_B)</f>
        <v>20.352448938278247</v>
      </c>
      <c r="E14" s="62" cm="1">
        <f t="array" aca="1" ref="E14" ca="1">_xll.VoseSimPercentile(NPV_B,0.1)</f>
        <v>0.24090362961212808</v>
      </c>
      <c r="F14" s="62" cm="1">
        <f t="array" aca="1" ref="F14" ca="1">_xll.VoseSimPercentile(NPV_B,0.9)</f>
        <v>28.429550115067105</v>
      </c>
      <c r="G14" s="63" cm="1">
        <f t="array" aca="1" ref="G14" ca="1">_xll.VoseSimProbability(NPV_B,0)</f>
        <v>9.8590140985901409E-2</v>
      </c>
    </row>
    <row r="15" spans="1:18" x14ac:dyDescent="0.45">
      <c r="B15" s="47" t="s">
        <v>226</v>
      </c>
      <c r="C15" s="43">
        <f>Base_C</f>
        <v>28.429550115067105</v>
      </c>
      <c r="D15" s="62" cm="1">
        <f t="array" aca="1" ref="D15" ca="1">_xll.VoseSimMean(NPV_C)</f>
        <v>24.471820476394019</v>
      </c>
      <c r="E15" s="62" cm="1">
        <f t="array" aca="1" ref="E15" ca="1">_xll.VoseSimPercentile(NPV_C,0.1)</f>
        <v>-5.8270023611862296</v>
      </c>
      <c r="F15" s="62" cm="1">
        <f t="array" aca="1" ref="F15" ca="1">_xll.VoseSimPercentile(NPV_C,0.9)</f>
        <v>58.103315610639193</v>
      </c>
      <c r="G15" s="63" cm="1">
        <f t="array" aca="1" ref="G15" ca="1">_xll.VoseSimProbability(NPV_C,0)</f>
        <v>0.13288671132886712</v>
      </c>
    </row>
    <row r="16" spans="1:18" ht="8" customHeight="1" x14ac:dyDescent="0.45"/>
    <row r="17" spans="2:18" ht="22.05" customHeight="1" x14ac:dyDescent="0.5">
      <c r="B17" s="7" t="s">
        <v>227</v>
      </c>
      <c r="C17" s="8"/>
      <c r="D17" s="8"/>
      <c r="E17" s="8"/>
      <c r="F17" s="8"/>
      <c r="G17" s="8"/>
    </row>
    <row r="18" spans="2:18" ht="18" customHeight="1" x14ac:dyDescent="0.45">
      <c r="B18" s="13" t="s">
        <v>228</v>
      </c>
    </row>
    <row r="19" spans="2:18" ht="18" customHeight="1" x14ac:dyDescent="0.45">
      <c r="B19" s="23" t="s">
        <v>229</v>
      </c>
      <c r="C19" s="23" t="s">
        <v>93</v>
      </c>
      <c r="D19" s="24" t="s">
        <v>140</v>
      </c>
      <c r="E19" s="5"/>
      <c r="F19" s="5"/>
      <c r="G19" s="5"/>
    </row>
    <row r="20" spans="2:18" ht="22.05" customHeight="1" x14ac:dyDescent="0.45">
      <c r="B20" s="47" t="s">
        <v>230</v>
      </c>
      <c r="C20" s="26" t="s">
        <v>112</v>
      </c>
      <c r="D20" s="64" cm="1">
        <f t="array" aca="1" ref="D20" ca="1">_xll.VoseSimMean(NPV_C)</f>
        <v>24.471820476394019</v>
      </c>
      <c r="E20" s="28"/>
      <c r="F20" s="28"/>
      <c r="G20" s="28"/>
    </row>
    <row r="21" spans="2:18" x14ac:dyDescent="0.45">
      <c r="B21" s="25" t="s">
        <v>231</v>
      </c>
      <c r="C21" s="26" t="s">
        <v>112</v>
      </c>
      <c r="D21" s="62" cm="1">
        <f t="array" aca="1" ref="D21" ca="1">_xll.VoseSimMean(NPV_B)</f>
        <v>20.352448938278247</v>
      </c>
      <c r="E21" s="28"/>
      <c r="F21" s="28"/>
      <c r="G21" s="28"/>
    </row>
    <row r="22" spans="2:18" x14ac:dyDescent="0.45">
      <c r="B22" s="25" t="s">
        <v>232</v>
      </c>
      <c r="C22" s="26" t="s">
        <v>112</v>
      </c>
      <c r="D22" s="62" cm="1">
        <f t="array" aca="1" ref="D22" ca="1">_xll.VoseSimMean(NPV_A)</f>
        <v>16.094900605356166</v>
      </c>
      <c r="E22" s="28"/>
      <c r="F22" s="28"/>
      <c r="G22" s="28"/>
    </row>
    <row r="23" spans="2:18" x14ac:dyDescent="0.45">
      <c r="B23" s="47" t="s">
        <v>233</v>
      </c>
      <c r="C23" s="26" t="s">
        <v>112</v>
      </c>
      <c r="D23" s="62">
        <f ca="1">IFERROR(D20-D21,"–")</f>
        <v>4.1193715381157716</v>
      </c>
      <c r="E23" s="28"/>
      <c r="F23" s="28"/>
      <c r="G23" s="28"/>
    </row>
    <row r="24" spans="2:18" x14ac:dyDescent="0.45">
      <c r="B24" s="25" t="s">
        <v>234</v>
      </c>
      <c r="C24" s="26" t="s">
        <v>112</v>
      </c>
      <c r="D24" s="62">
        <f ca="1">IFERROR(D20-D22,"–")</f>
        <v>8.3769198710378525</v>
      </c>
      <c r="E24" s="28"/>
      <c r="F24" s="28"/>
      <c r="G24" s="28"/>
    </row>
    <row r="25" spans="2:18" x14ac:dyDescent="0.45">
      <c r="B25" s="25" t="s">
        <v>235</v>
      </c>
      <c r="C25" s="26" t="s">
        <v>236</v>
      </c>
      <c r="D25" s="63" cm="1">
        <f t="array" aca="1" ref="D25" ca="1">_xll.VoseSimMean(Expand)</f>
        <v>0.31609999999999999</v>
      </c>
      <c r="E25" s="28"/>
      <c r="F25" s="28"/>
      <c r="G25" s="28"/>
    </row>
    <row r="26" spans="2:18" x14ac:dyDescent="0.45">
      <c r="B26" s="25" t="s">
        <v>237</v>
      </c>
      <c r="C26" s="26" t="s">
        <v>236</v>
      </c>
      <c r="D26" s="63" cm="1">
        <f t="array" aca="1" ref="D26" ca="1">_xll.VoseSimMean(Abandon)</f>
        <v>1.7500000000000002E-2</v>
      </c>
      <c r="E26" s="28"/>
      <c r="F26" s="28"/>
      <c r="G26" s="28"/>
    </row>
    <row r="27" spans="2:18" ht="8" customHeight="1" x14ac:dyDescent="0.45"/>
    <row r="28" spans="2:18" x14ac:dyDescent="0.45">
      <c r="I28" s="59" t="s">
        <v>238</v>
      </c>
      <c r="J28" s="8"/>
      <c r="K28" s="8"/>
      <c r="L28" s="8"/>
      <c r="M28" s="8"/>
      <c r="N28" s="8"/>
      <c r="O28" s="8"/>
      <c r="P28" s="8"/>
      <c r="Q28" s="8"/>
      <c r="R28" s="8"/>
    </row>
    <row r="44" spans="2:7" ht="22.05" customHeight="1" x14ac:dyDescent="0.5">
      <c r="B44" s="7" t="s">
        <v>239</v>
      </c>
      <c r="C44" s="8"/>
      <c r="D44" s="8"/>
      <c r="E44" s="8"/>
      <c r="F44" s="8"/>
      <c r="G44" s="8"/>
    </row>
    <row r="45" spans="2:7" ht="45" customHeight="1" x14ac:dyDescent="0.45">
      <c r="B45" s="70" t="s">
        <v>240</v>
      </c>
      <c r="C45" s="69"/>
      <c r="D45" s="69"/>
      <c r="E45" s="69"/>
      <c r="F45" s="69"/>
      <c r="G45" s="69"/>
    </row>
    <row r="46" spans="2:7" ht="32" customHeight="1" x14ac:dyDescent="0.45">
      <c r="B46" s="70" t="s">
        <v>241</v>
      </c>
      <c r="C46" s="69"/>
      <c r="D46" s="69"/>
      <c r="E46" s="69"/>
      <c r="F46" s="69"/>
      <c r="G46" s="69"/>
    </row>
    <row r="47" spans="2:7" ht="32" customHeight="1" x14ac:dyDescent="0.45">
      <c r="B47" s="70" t="s">
        <v>242</v>
      </c>
      <c r="C47" s="69"/>
      <c r="D47" s="69"/>
      <c r="E47" s="69"/>
      <c r="F47" s="69"/>
      <c r="G47" s="69"/>
    </row>
    <row r="48" spans="2:7" ht="32" customHeight="1" x14ac:dyDescent="0.45">
      <c r="B48" s="70" t="s">
        <v>243</v>
      </c>
      <c r="C48" s="69"/>
      <c r="D48" s="69"/>
      <c r="E48" s="69"/>
      <c r="F48" s="69"/>
      <c r="G48" s="69"/>
    </row>
    <row r="49" spans="2:7" ht="32" customHeight="1" x14ac:dyDescent="0.45">
      <c r="B49" s="70" t="s">
        <v>244</v>
      </c>
      <c r="C49" s="69"/>
      <c r="D49" s="69"/>
      <c r="E49" s="69"/>
      <c r="F49" s="69"/>
      <c r="G49" s="69"/>
    </row>
    <row r="50" spans="2:7" ht="14" customHeight="1" x14ac:dyDescent="0.45"/>
    <row r="51" spans="2:7" ht="14" customHeight="1" x14ac:dyDescent="0.45"/>
    <row r="52" spans="2:7" ht="22.05" customHeight="1" x14ac:dyDescent="0.5">
      <c r="B52" s="7" t="s">
        <v>245</v>
      </c>
      <c r="C52" s="8"/>
      <c r="D52" s="8"/>
      <c r="E52" s="8"/>
      <c r="F52" s="8"/>
      <c r="G52" s="8"/>
    </row>
    <row r="53" spans="2:7" ht="18" customHeight="1" x14ac:dyDescent="0.45">
      <c r="B53" s="13" t="s">
        <v>246</v>
      </c>
    </row>
    <row r="54" spans="2:7" ht="28.05" hidden="1" customHeight="1" outlineLevel="1" x14ac:dyDescent="0.45">
      <c r="B54" s="24" t="s">
        <v>247</v>
      </c>
      <c r="C54" s="24" t="s">
        <v>248</v>
      </c>
      <c r="D54" s="24" t="s">
        <v>249</v>
      </c>
      <c r="E54" s="24" t="s">
        <v>250</v>
      </c>
      <c r="F54" s="24" t="s">
        <v>251</v>
      </c>
      <c r="G54" s="5"/>
    </row>
    <row r="55" spans="2:7" hidden="1" outlineLevel="1" x14ac:dyDescent="0.45">
      <c r="B55" s="65">
        <v>0.01</v>
      </c>
      <c r="C55" s="65">
        <f t="shared" ref="C55:C86" si="0">1-B55</f>
        <v>0.99</v>
      </c>
      <c r="D55" s="66" cm="1">
        <f t="array" aca="1" ref="D55" ca="1">IF(ISNUMBER(_xll.VoseSimPercentile(NPV_A,$B55)),_xll.VoseSimPercentile(NPV_A,$B55),NA())</f>
        <v>-92.088817181684902</v>
      </c>
      <c r="E55" s="66" cm="1">
        <f t="array" aca="1" ref="E55" ca="1">IF(ISNUMBER(_xll.VoseSimPercentile(NPV_B,$B55)),_xll.VoseSimPercentile(NPV_B,$B55),NA())</f>
        <v>-27.354594577856826</v>
      </c>
      <c r="F55" s="66" cm="1">
        <f t="array" aca="1" ref="F55" ca="1">IF(ISNUMBER(_xll.VoseSimPercentile(NPV_C,$B55)),_xll.VoseSimPercentile(NPV_C,$B55),NA())</f>
        <v>-32.292910856078606</v>
      </c>
    </row>
    <row r="56" spans="2:7" hidden="1" outlineLevel="1" x14ac:dyDescent="0.45">
      <c r="B56" s="65">
        <v>0.03</v>
      </c>
      <c r="C56" s="65">
        <f t="shared" si="0"/>
        <v>0.97</v>
      </c>
      <c r="D56" s="66" cm="1">
        <f t="array" aca="1" ref="D56" ca="1">IF(ISNUMBER(_xll.VoseSimPercentile(NPV_A,$B56)),_xll.VoseSimPercentile(NPV_A,$B56),NA())</f>
        <v>-78.669986731865947</v>
      </c>
      <c r="E56" s="66" cm="1">
        <f t="array" aca="1" ref="E56" ca="1">IF(ISNUMBER(_xll.VoseSimPercentile(NPV_B,$B56)),_xll.VoseSimPercentile(NPV_B,$B56),NA())</f>
        <v>-17.65342780580497</v>
      </c>
      <c r="F56" s="66" cm="1">
        <f t="array" aca="1" ref="F56" ca="1">IF(ISNUMBER(_xll.VoseSimPercentile(NPV_C,$B56)),_xll.VoseSimPercentile(NPV_C,$B56),NA())</f>
        <v>-20.573675717933796</v>
      </c>
    </row>
    <row r="57" spans="2:7" hidden="1" outlineLevel="1" x14ac:dyDescent="0.45">
      <c r="B57" s="65">
        <v>0.05</v>
      </c>
      <c r="C57" s="65">
        <f t="shared" si="0"/>
        <v>0.95</v>
      </c>
      <c r="D57" s="66" cm="1">
        <f t="array" aca="1" ref="D57" ca="1">IF(ISNUMBER(_xll.VoseSimPercentile(NPV_A,$B57)),_xll.VoseSimPercentile(NPV_A,$B57),NA())</f>
        <v>-70.4515916651537</v>
      </c>
      <c r="E57" s="66" cm="1">
        <f t="array" aca="1" ref="E57" ca="1">IF(ISNUMBER(_xll.VoseSimPercentile(NPV_B,$B57)),_xll.VoseSimPercentile(NPV_B,$B57),NA())</f>
        <v>-10.849071864860125</v>
      </c>
      <c r="F57" s="66" cm="1">
        <f t="array" aca="1" ref="F57" ca="1">IF(ISNUMBER(_xll.VoseSimPercentile(NPV_C,$B57)),_xll.VoseSimPercentile(NPV_C,$B57),NA())</f>
        <v>-14.731308851208468</v>
      </c>
    </row>
    <row r="58" spans="2:7" hidden="1" outlineLevel="1" x14ac:dyDescent="0.45">
      <c r="B58" s="65">
        <v>7.0000000000000007E-2</v>
      </c>
      <c r="C58" s="65">
        <f t="shared" si="0"/>
        <v>0.92999999999999994</v>
      </c>
      <c r="D58" s="66" cm="1">
        <f t="array" aca="1" ref="D58" ca="1">IF(ISNUMBER(_xll.VoseSimPercentile(NPV_A,$B58)),_xll.VoseSimPercentile(NPV_A,$B58),NA())</f>
        <v>-63.462754776496141</v>
      </c>
      <c r="E58" s="66" cm="1">
        <f t="array" aca="1" ref="E58" ca="1">IF(ISNUMBER(_xll.VoseSimPercentile(NPV_B,$B58)),_xll.VoseSimPercentile(NPV_B,$B58),NA())</f>
        <v>-5.4033630529692029</v>
      </c>
      <c r="F58" s="66" cm="1">
        <f t="array" aca="1" ref="F58" ca="1">IF(ISNUMBER(_xll.VoseSimPercentile(NPV_C,$B58)),_xll.VoseSimPercentile(NPV_C,$B58),NA())</f>
        <v>-10.714372580113807</v>
      </c>
    </row>
    <row r="59" spans="2:7" hidden="1" outlineLevel="1" x14ac:dyDescent="0.45">
      <c r="B59" s="65">
        <v>0.09</v>
      </c>
      <c r="C59" s="65">
        <f t="shared" si="0"/>
        <v>0.91</v>
      </c>
      <c r="D59" s="66" cm="1">
        <f t="array" aca="1" ref="D59" ca="1">IF(ISNUMBER(_xll.VoseSimPercentile(NPV_A,$B59)),_xll.VoseSimPercentile(NPV_A,$B59),NA())</f>
        <v>-58.121346841195255</v>
      </c>
      <c r="E59" s="66" cm="1">
        <f t="array" aca="1" ref="E59" ca="1">IF(ISNUMBER(_xll.VoseSimPercentile(NPV_B,$B59)),_xll.VoseSimPercentile(NPV_B,$B59),NA())</f>
        <v>-1.7582609136776952</v>
      </c>
      <c r="F59" s="66" cm="1">
        <f t="array" aca="1" ref="F59" ca="1">IF(ISNUMBER(_xll.VoseSimPercentile(NPV_C,$B59)),_xll.VoseSimPercentile(NPV_C,$B59),NA())</f>
        <v>-7.8797282530184845</v>
      </c>
    </row>
    <row r="60" spans="2:7" hidden="1" outlineLevel="1" x14ac:dyDescent="0.45">
      <c r="B60" s="65">
        <v>0.11</v>
      </c>
      <c r="C60" s="65">
        <f t="shared" si="0"/>
        <v>0.89</v>
      </c>
      <c r="D60" s="66" cm="1">
        <f t="array" aca="1" ref="D60" ca="1">IF(ISNUMBER(_xll.VoseSimPercentile(NPV_A,$B60)),_xll.VoseSimPercentile(NPV_A,$B60),NA())</f>
        <v>-52.785234549702849</v>
      </c>
      <c r="E60" s="66" cm="1">
        <f t="array" aca="1" ref="E60" ca="1">IF(ISNUMBER(_xll.VoseSimPercentile(NPV_B,$B60)),_xll.VoseSimPercentile(NPV_B,$B60),NA())</f>
        <v>1.7190852373869592</v>
      </c>
      <c r="F60" s="66" cm="1">
        <f t="array" aca="1" ref="F60" ca="1">IF(ISNUMBER(_xll.VoseSimPercentile(NPV_C,$B60)),_xll.VoseSimPercentile(NPV_C,$B60),NA())</f>
        <v>-4.0381302291621033</v>
      </c>
    </row>
    <row r="61" spans="2:7" hidden="1" outlineLevel="1" x14ac:dyDescent="0.45">
      <c r="B61" s="65">
        <v>0.13</v>
      </c>
      <c r="C61" s="65">
        <f t="shared" si="0"/>
        <v>0.87</v>
      </c>
      <c r="D61" s="66" cm="1">
        <f t="array" aca="1" ref="D61" ca="1">IF(ISNUMBER(_xll.VoseSimPercentile(NPV_A,$B61)),_xll.VoseSimPercentile(NPV_A,$B61),NA())</f>
        <v>-47.903772677857141</v>
      </c>
      <c r="E61" s="66" cm="1">
        <f t="array" aca="1" ref="E61" ca="1">IF(ISNUMBER(_xll.VoseSimPercentile(NPV_B,$B61)),_xll.VoseSimPercentile(NPV_B,$B61),NA())</f>
        <v>4.9485468046019427</v>
      </c>
      <c r="F61" s="66" cm="1">
        <f t="array" aca="1" ref="F61" ca="1">IF(ISNUMBER(_xll.VoseSimPercentile(NPV_C,$B61)),_xll.VoseSimPercentile(NPV_C,$B61),NA())</f>
        <v>-0.60923067525668451</v>
      </c>
    </row>
    <row r="62" spans="2:7" hidden="1" outlineLevel="1" x14ac:dyDescent="0.45">
      <c r="B62" s="65">
        <v>0.15</v>
      </c>
      <c r="C62" s="65">
        <f t="shared" si="0"/>
        <v>0.85</v>
      </c>
      <c r="D62" s="66" cm="1">
        <f t="array" aca="1" ref="D62" ca="1">IF(ISNUMBER(_xll.VoseSimPercentile(NPV_A,$B62)),_xll.VoseSimPercentile(NPV_A,$B62),NA())</f>
        <v>-43.439415355330084</v>
      </c>
      <c r="E62" s="66" cm="1">
        <f t="array" aca="1" ref="E62" ca="1">IF(ISNUMBER(_xll.VoseSimPercentile(NPV_B,$B62)),_xll.VoseSimPercentile(NPV_B,$B62),NA())</f>
        <v>7.3952612647415421</v>
      </c>
      <c r="F62" s="66" cm="1">
        <f t="array" aca="1" ref="F62" ca="1">IF(ISNUMBER(_xll.VoseSimPercentile(NPV_C,$B62)),_xll.VoseSimPercentile(NPV_C,$B62),NA())</f>
        <v>2.3775214940108649</v>
      </c>
    </row>
    <row r="63" spans="2:7" hidden="1" outlineLevel="1" x14ac:dyDescent="0.45">
      <c r="B63" s="65">
        <v>0.17</v>
      </c>
      <c r="C63" s="65">
        <f t="shared" si="0"/>
        <v>0.83</v>
      </c>
      <c r="D63" s="66" cm="1">
        <f t="array" aca="1" ref="D63" ca="1">IF(ISNUMBER(_xll.VoseSimPercentile(NPV_A,$B63)),_xll.VoseSimPercentile(NPV_A,$B63),NA())</f>
        <v>-39.181188886973345</v>
      </c>
      <c r="E63" s="66" cm="1">
        <f t="array" aca="1" ref="E63" ca="1">IF(ISNUMBER(_xll.VoseSimPercentile(NPV_B,$B63)),_xll.VoseSimPercentile(NPV_B,$B63),NA())</f>
        <v>9.6989158308947019</v>
      </c>
      <c r="F63" s="66" cm="1">
        <f t="array" aca="1" ref="F63" ca="1">IF(ISNUMBER(_xll.VoseSimPercentile(NPV_C,$B63)),_xll.VoseSimPercentile(NPV_C,$B63),NA())</f>
        <v>5.4065219113495848</v>
      </c>
    </row>
    <row r="64" spans="2:7" hidden="1" outlineLevel="1" x14ac:dyDescent="0.45">
      <c r="B64" s="65">
        <v>0.19</v>
      </c>
      <c r="C64" s="65">
        <f t="shared" si="0"/>
        <v>0.81</v>
      </c>
      <c r="D64" s="66" cm="1">
        <f t="array" aca="1" ref="D64" ca="1">IF(ISNUMBER(_xll.VoseSimPercentile(NPV_A,$B64)),_xll.VoseSimPercentile(NPV_A,$B64),NA())</f>
        <v>-35.002228711059068</v>
      </c>
      <c r="E64" s="66" cm="1">
        <f t="array" aca="1" ref="E64" ca="1">IF(ISNUMBER(_xll.VoseSimPercentile(NPV_B,$B64)),_xll.VoseSimPercentile(NPV_B,$B64),NA())</f>
        <v>12.056815550137904</v>
      </c>
      <c r="F64" s="66" cm="1">
        <f t="array" aca="1" ref="F64" ca="1">IF(ISNUMBER(_xll.VoseSimPercentile(NPV_C,$B64)),_xll.VoseSimPercentile(NPV_C,$B64),NA())</f>
        <v>7.6365788929278153</v>
      </c>
    </row>
    <row r="65" spans="2:6" hidden="1" outlineLevel="1" x14ac:dyDescent="0.45">
      <c r="B65" s="65">
        <v>0.21</v>
      </c>
      <c r="C65" s="65">
        <f t="shared" si="0"/>
        <v>0.79</v>
      </c>
      <c r="D65" s="66" cm="1">
        <f t="array" aca="1" ref="D65" ca="1">IF(ISNUMBER(_xll.VoseSimPercentile(NPV_A,$B65)),_xll.VoseSimPercentile(NPV_A,$B65),NA())</f>
        <v>-30.741723900462176</v>
      </c>
      <c r="E65" s="66" cm="1">
        <f t="array" aca="1" ref="E65" ca="1">IF(ISNUMBER(_xll.VoseSimPercentile(NPV_B,$B65)),_xll.VoseSimPercentile(NPV_B,$B65),NA())</f>
        <v>14.045232337216554</v>
      </c>
      <c r="F65" s="66" cm="1">
        <f t="array" aca="1" ref="F65" ca="1">IF(ISNUMBER(_xll.VoseSimPercentile(NPV_C,$B65)),_xll.VoseSimPercentile(NPV_C,$B65),NA())</f>
        <v>9.7720420883814789</v>
      </c>
    </row>
    <row r="66" spans="2:6" hidden="1" outlineLevel="1" x14ac:dyDescent="0.45">
      <c r="B66" s="65">
        <v>0.23</v>
      </c>
      <c r="C66" s="65">
        <f t="shared" si="0"/>
        <v>0.77</v>
      </c>
      <c r="D66" s="66" cm="1">
        <f t="array" aca="1" ref="D66" ca="1">IF(ISNUMBER(_xll.VoseSimPercentile(NPV_A,$B66)),_xll.VoseSimPercentile(NPV_A,$B66),NA())</f>
        <v>-26.892036970695891</v>
      </c>
      <c r="E66" s="66" cm="1">
        <f t="array" aca="1" ref="E66" ca="1">IF(ISNUMBER(_xll.VoseSimPercentile(NPV_B,$B66)),_xll.VoseSimPercentile(NPV_B,$B66),NA())</f>
        <v>15.661690504890196</v>
      </c>
      <c r="F66" s="66" cm="1">
        <f t="array" aca="1" ref="F66" ca="1">IF(ISNUMBER(_xll.VoseSimPercentile(NPV_C,$B66)),_xll.VoseSimPercentile(NPV_C,$B66),NA())</f>
        <v>12.103512176020352</v>
      </c>
    </row>
    <row r="67" spans="2:6" hidden="1" outlineLevel="1" x14ac:dyDescent="0.45">
      <c r="B67" s="65">
        <v>0.25</v>
      </c>
      <c r="C67" s="65">
        <f t="shared" si="0"/>
        <v>0.75</v>
      </c>
      <c r="D67" s="66" cm="1">
        <f t="array" aca="1" ref="D67" ca="1">IF(ISNUMBER(_xll.VoseSimPercentile(NPV_A,$B67)),_xll.VoseSimPercentile(NPV_A,$B67),NA())</f>
        <v>-22.289546413868514</v>
      </c>
      <c r="E67" s="66" cm="1">
        <f t="array" aca="1" ref="E67" ca="1">IF(ISNUMBER(_xll.VoseSimPercentile(NPV_B,$B67)),_xll.VoseSimPercentile(NPV_B,$B67),NA())</f>
        <v>17.37164718428593</v>
      </c>
      <c r="F67" s="66" cm="1">
        <f t="array" aca="1" ref="F67" ca="1">IF(ISNUMBER(_xll.VoseSimPercentile(NPV_C,$B67)),_xll.VoseSimPercentile(NPV_C,$B67),NA())</f>
        <v>13.969273319874244</v>
      </c>
    </row>
    <row r="68" spans="2:6" hidden="1" outlineLevel="1" x14ac:dyDescent="0.45">
      <c r="B68" s="65">
        <v>0.27</v>
      </c>
      <c r="C68" s="65">
        <f t="shared" si="0"/>
        <v>0.73</v>
      </c>
      <c r="D68" s="66" cm="1">
        <f t="array" aca="1" ref="D68" ca="1">IF(ISNUMBER(_xll.VoseSimPercentile(NPV_A,$B68)),_xll.VoseSimPercentile(NPV_A,$B68),NA())</f>
        <v>-18.504310314654912</v>
      </c>
      <c r="E68" s="66" cm="1">
        <f t="array" aca="1" ref="E68" ca="1">IF(ISNUMBER(_xll.VoseSimPercentile(NPV_B,$B68)),_xll.VoseSimPercentile(NPV_B,$B68),NA())</f>
        <v>18.777384781831859</v>
      </c>
      <c r="F68" s="66" cm="1">
        <f t="array" aca="1" ref="F68" ca="1">IF(ISNUMBER(_xll.VoseSimPercentile(NPV_C,$B68)),_xll.VoseSimPercentile(NPV_C,$B68),NA())</f>
        <v>15.622839970044112</v>
      </c>
    </row>
    <row r="69" spans="2:6" hidden="1" outlineLevel="1" x14ac:dyDescent="0.45">
      <c r="B69" s="65">
        <v>0.28999999999999998</v>
      </c>
      <c r="C69" s="65">
        <f t="shared" si="0"/>
        <v>0.71</v>
      </c>
      <c r="D69" s="66" cm="1">
        <f t="array" aca="1" ref="D69" ca="1">IF(ISNUMBER(_xll.VoseSimPercentile(NPV_A,$B69)),_xll.VoseSimPercentile(NPV_A,$B69),NA())</f>
        <v>-14.504564542429927</v>
      </c>
      <c r="E69" s="66" cm="1">
        <f t="array" aca="1" ref="E69" ca="1">IF(ISNUMBER(_xll.VoseSimPercentile(NPV_B,$B69)),_xll.VoseSimPercentile(NPV_B,$B69),NA())</f>
        <v>20.211004014896488</v>
      </c>
      <c r="F69" s="66" cm="1">
        <f t="array" aca="1" ref="F69" ca="1">IF(ISNUMBER(_xll.VoseSimPercentile(NPV_C,$B69)),_xll.VoseSimPercentile(NPV_C,$B69),NA())</f>
        <v>17.307990481810002</v>
      </c>
    </row>
    <row r="70" spans="2:6" hidden="1" outlineLevel="1" x14ac:dyDescent="0.45">
      <c r="B70" s="65">
        <v>0.31</v>
      </c>
      <c r="C70" s="65">
        <f t="shared" si="0"/>
        <v>0.69</v>
      </c>
      <c r="D70" s="66" cm="1">
        <f t="array" aca="1" ref="D70" ca="1">IF(ISNUMBER(_xll.VoseSimPercentile(NPV_A,$B70)),_xll.VoseSimPercentile(NPV_A,$B70),NA())</f>
        <v>-10.664143695448377</v>
      </c>
      <c r="E70" s="66" cm="1">
        <f t="array" aca="1" ref="E70" ca="1">IF(ISNUMBER(_xll.VoseSimPercentile(NPV_B,$B70)),_xll.VoseSimPercentile(NPV_B,$B70),NA())</f>
        <v>21.389523964487072</v>
      </c>
      <c r="F70" s="66" cm="1">
        <f t="array" aca="1" ref="F70" ca="1">IF(ISNUMBER(_xll.VoseSimPercentile(NPV_C,$B70)),_xll.VoseSimPercentile(NPV_C,$B70),NA())</f>
        <v>18.798476909263467</v>
      </c>
    </row>
    <row r="71" spans="2:6" hidden="1" outlineLevel="1" x14ac:dyDescent="0.45">
      <c r="B71" s="65">
        <v>0.33</v>
      </c>
      <c r="C71" s="65">
        <f t="shared" si="0"/>
        <v>0.66999999999999993</v>
      </c>
      <c r="D71" s="66" cm="1">
        <f t="array" aca="1" ref="D71" ca="1">IF(ISNUMBER(_xll.VoseSimPercentile(NPV_A,$B71)),_xll.VoseSimPercentile(NPV_A,$B71),NA())</f>
        <v>-6.8763486320506679</v>
      </c>
      <c r="E71" s="66" cm="1">
        <f t="array" aca="1" ref="E71" ca="1">IF(ISNUMBER(_xll.VoseSimPercentile(NPV_B,$B71)),_xll.VoseSimPercentile(NPV_B,$B71),NA())</f>
        <v>22.449313636231178</v>
      </c>
      <c r="F71" s="66" cm="1">
        <f t="array" aca="1" ref="F71" ca="1">IF(ISNUMBER(_xll.VoseSimPercentile(NPV_C,$B71)),_xll.VoseSimPercentile(NPV_C,$B71),NA())</f>
        <v>20.27070200140508</v>
      </c>
    </row>
    <row r="72" spans="2:6" hidden="1" outlineLevel="1" x14ac:dyDescent="0.45">
      <c r="B72" s="65">
        <v>0.35</v>
      </c>
      <c r="C72" s="65">
        <f t="shared" si="0"/>
        <v>0.65</v>
      </c>
      <c r="D72" s="66" cm="1">
        <f t="array" aca="1" ref="D72" ca="1">IF(ISNUMBER(_xll.VoseSimPercentile(NPV_A,$B72)),_xll.VoseSimPercentile(NPV_A,$B72),NA())</f>
        <v>-2.6509814418700079</v>
      </c>
      <c r="E72" s="66" cm="1">
        <f t="array" aca="1" ref="E72" ca="1">IF(ISNUMBER(_xll.VoseSimPercentile(NPV_B,$B72)),_xll.VoseSimPercentile(NPV_B,$B72),NA())</f>
        <v>23.416332612467901</v>
      </c>
      <c r="F72" s="66" cm="1">
        <f t="array" aca="1" ref="F72" ca="1">IF(ISNUMBER(_xll.VoseSimPercentile(NPV_C,$B72)),_xll.VoseSimPercentile(NPV_C,$B72),NA())</f>
        <v>21.498234087168566</v>
      </c>
    </row>
    <row r="73" spans="2:6" hidden="1" outlineLevel="1" x14ac:dyDescent="0.45">
      <c r="B73" s="65">
        <v>0.37</v>
      </c>
      <c r="C73" s="65">
        <f t="shared" si="0"/>
        <v>0.63</v>
      </c>
      <c r="D73" s="66" cm="1">
        <f t="array" aca="1" ref="D73" ca="1">IF(ISNUMBER(_xll.VoseSimPercentile(NPV_A,$B73)),_xll.VoseSimPercentile(NPV_A,$B73),NA())</f>
        <v>1.3798662457967339</v>
      </c>
      <c r="E73" s="66" cm="1">
        <f t="array" aca="1" ref="E73" ca="1">IF(ISNUMBER(_xll.VoseSimPercentile(NPV_B,$B73)),_xll.VoseSimPercentile(NPV_B,$B73),NA())</f>
        <v>24.411763220067989</v>
      </c>
      <c r="F73" s="66" cm="1">
        <f t="array" aca="1" ref="F73" ca="1">IF(ISNUMBER(_xll.VoseSimPercentile(NPV_C,$B73)),_xll.VoseSimPercentile(NPV_C,$B73),NA())</f>
        <v>22.637024039346276</v>
      </c>
    </row>
    <row r="74" spans="2:6" hidden="1" outlineLevel="1" x14ac:dyDescent="0.45">
      <c r="B74" s="65">
        <v>0.39</v>
      </c>
      <c r="C74" s="65">
        <f t="shared" si="0"/>
        <v>0.61</v>
      </c>
      <c r="D74" s="66" cm="1">
        <f t="array" aca="1" ref="D74" ca="1">IF(ISNUMBER(_xll.VoseSimPercentile(NPV_A,$B74)),_xll.VoseSimPercentile(NPV_A,$B74),NA())</f>
        <v>5.0729858108314776</v>
      </c>
      <c r="E74" s="66" cm="1">
        <f t="array" aca="1" ref="E74" ca="1">IF(ISNUMBER(_xll.VoseSimPercentile(NPV_B,$B74)),_xll.VoseSimPercentile(NPV_B,$B74),NA())</f>
        <v>25.235690856020032</v>
      </c>
      <c r="F74" s="66" cm="1">
        <f t="array" aca="1" ref="F74" ca="1">IF(ISNUMBER(_xll.VoseSimPercentile(NPV_C,$B74)),_xll.VoseSimPercentile(NPV_C,$B74),NA())</f>
        <v>23.757501223057236</v>
      </c>
    </row>
    <row r="75" spans="2:6" hidden="1" outlineLevel="1" x14ac:dyDescent="0.45">
      <c r="B75" s="65">
        <v>0.41</v>
      </c>
      <c r="C75" s="65">
        <f t="shared" si="0"/>
        <v>0.59000000000000008</v>
      </c>
      <c r="D75" s="66" cm="1">
        <f t="array" aca="1" ref="D75" ca="1">IF(ISNUMBER(_xll.VoseSimPercentile(NPV_A,$B75)),_xll.VoseSimPercentile(NPV_A,$B75),NA())</f>
        <v>8.9502729519556787</v>
      </c>
      <c r="E75" s="66" cm="1">
        <f t="array" aca="1" ref="E75" ca="1">IF(ISNUMBER(_xll.VoseSimPercentile(NPV_B,$B75)),_xll.VoseSimPercentile(NPV_B,$B75),NA())</f>
        <v>25.842188117745238</v>
      </c>
      <c r="F75" s="66" cm="1">
        <f t="array" aca="1" ref="F75" ca="1">IF(ISNUMBER(_xll.VoseSimPercentile(NPV_C,$B75)),_xll.VoseSimPercentile(NPV_C,$B75),NA())</f>
        <v>24.771702107277054</v>
      </c>
    </row>
    <row r="76" spans="2:6" hidden="1" outlineLevel="1" x14ac:dyDescent="0.45">
      <c r="B76" s="65">
        <v>0.43</v>
      </c>
      <c r="C76" s="65">
        <f t="shared" si="0"/>
        <v>0.57000000000000006</v>
      </c>
      <c r="D76" s="66" cm="1">
        <f t="array" aca="1" ref="D76" ca="1">IF(ISNUMBER(_xll.VoseSimPercentile(NPV_A,$B76)),_xll.VoseSimPercentile(NPV_A,$B76),NA())</f>
        <v>12.290840532172867</v>
      </c>
      <c r="E76" s="66" cm="1">
        <f t="array" aca="1" ref="E76" ca="1">IF(ISNUMBER(_xll.VoseSimPercentile(NPV_B,$B76)),_xll.VoseSimPercentile(NPV_B,$B76),NA())</f>
        <v>26.395478445372394</v>
      </c>
      <c r="F76" s="66" cm="1">
        <f t="array" aca="1" ref="F76" ca="1">IF(ISNUMBER(_xll.VoseSimPercentile(NPV_C,$B76)),_xll.VoseSimPercentile(NPV_C,$B76),NA())</f>
        <v>25.569774728355849</v>
      </c>
    </row>
    <row r="77" spans="2:6" hidden="1" outlineLevel="1" x14ac:dyDescent="0.45">
      <c r="B77" s="65">
        <v>0.45</v>
      </c>
      <c r="C77" s="65">
        <f t="shared" si="0"/>
        <v>0.55000000000000004</v>
      </c>
      <c r="D77" s="66" cm="1">
        <f t="array" aca="1" ref="D77" ca="1">IF(ISNUMBER(_xll.VoseSimPercentile(NPV_A,$B77)),_xll.VoseSimPercentile(NPV_A,$B77),NA())</f>
        <v>15.62620281155959</v>
      </c>
      <c r="E77" s="66" cm="1">
        <f t="array" aca="1" ref="E77" ca="1">IF(ISNUMBER(_xll.VoseSimPercentile(NPV_B,$B77)),_xll.VoseSimPercentile(NPV_B,$B77),NA())</f>
        <v>26.904219422005788</v>
      </c>
      <c r="F77" s="66" cm="1">
        <f t="array" aca="1" ref="F77" ca="1">IF(ISNUMBER(_xll.VoseSimPercentile(NPV_C,$B77)),_xll.VoseSimPercentile(NPV_C,$B77),NA())</f>
        <v>26.227644294467304</v>
      </c>
    </row>
    <row r="78" spans="2:6" hidden="1" outlineLevel="1" x14ac:dyDescent="0.45">
      <c r="B78" s="65">
        <v>0.47</v>
      </c>
      <c r="C78" s="65">
        <f t="shared" si="0"/>
        <v>0.53</v>
      </c>
      <c r="D78" s="66" cm="1">
        <f t="array" aca="1" ref="D78" ca="1">IF(ISNUMBER(_xll.VoseSimPercentile(NPV_A,$B78)),_xll.VoseSimPercentile(NPV_A,$B78),NA())</f>
        <v>19.379825454023035</v>
      </c>
      <c r="E78" s="66" cm="1">
        <f t="array" aca="1" ref="E78" ca="1">IF(ISNUMBER(_xll.VoseSimPercentile(NPV_B,$B78)),_xll.VoseSimPercentile(NPV_B,$B78),NA())</f>
        <v>27.350340973259453</v>
      </c>
      <c r="F78" s="66" cm="1">
        <f t="array" aca="1" ref="F78" ca="1">IF(ISNUMBER(_xll.VoseSimPercentile(NPV_C,$B78)),_xll.VoseSimPercentile(NPV_C,$B78),NA())</f>
        <v>26.829738326987236</v>
      </c>
    </row>
    <row r="79" spans="2:6" hidden="1" outlineLevel="1" x14ac:dyDescent="0.45">
      <c r="B79" s="65">
        <v>0.49</v>
      </c>
      <c r="C79" s="65">
        <f t="shared" si="0"/>
        <v>0.51</v>
      </c>
      <c r="D79" s="66" cm="1">
        <f t="array" aca="1" ref="D79" ca="1">IF(ISNUMBER(_xll.VoseSimPercentile(NPV_A,$B79)),_xll.VoseSimPercentile(NPV_A,$B79),NA())</f>
        <v>22.812527784103722</v>
      </c>
      <c r="E79" s="66" cm="1">
        <f t="array" aca="1" ref="E79" ca="1">IF(ISNUMBER(_xll.VoseSimPercentile(NPV_B,$B79)),_xll.VoseSimPercentile(NPV_B,$B79),NA())</f>
        <v>27.761692013589276</v>
      </c>
      <c r="F79" s="66" cm="1">
        <f t="array" aca="1" ref="F79" ca="1">IF(ISNUMBER(_xll.VoseSimPercentile(NPV_C,$B79)),_xll.VoseSimPercentile(NPV_C,$B79),NA())</f>
        <v>27.396220383873267</v>
      </c>
    </row>
    <row r="80" spans="2:6" hidden="1" outlineLevel="1" x14ac:dyDescent="0.45">
      <c r="B80" s="65">
        <v>0.51</v>
      </c>
      <c r="C80" s="65">
        <f t="shared" si="0"/>
        <v>0.49</v>
      </c>
      <c r="D80" s="66" cm="1">
        <f t="array" aca="1" ref="D80" ca="1">IF(ISNUMBER(_xll.VoseSimPercentile(NPV_A,$B80)),_xll.VoseSimPercentile(NPV_A,$B80),NA())</f>
        <v>26.226321088447161</v>
      </c>
      <c r="E80" s="66" cm="1">
        <f t="array" aca="1" ref="E80" ca="1">IF(ISNUMBER(_xll.VoseSimPercentile(NPV_B,$B80)),_xll.VoseSimPercentile(NPV_B,$B80),NA())</f>
        <v>28.143823576495652</v>
      </c>
      <c r="F80" s="66" cm="1">
        <f t="array" aca="1" ref="F80" ca="1">IF(ISNUMBER(_xll.VoseSimPercentile(NPV_C,$B80)),_xll.VoseSimPercentile(NPV_C,$B80),NA())</f>
        <v>27.908181254975521</v>
      </c>
    </row>
    <row r="81" spans="2:6" hidden="1" outlineLevel="1" x14ac:dyDescent="0.45">
      <c r="B81" s="65">
        <v>0.53</v>
      </c>
      <c r="C81" s="65">
        <f t="shared" si="0"/>
        <v>0.47</v>
      </c>
      <c r="D81" s="66" cm="1">
        <f t="array" aca="1" ref="D81" ca="1">IF(ISNUMBER(_xll.VoseSimPercentile(NPV_A,$B81)),_xll.VoseSimPercentile(NPV_A,$B81),NA())</f>
        <v>29.154392375766758</v>
      </c>
      <c r="E81" s="66" cm="1">
        <f t="array" aca="1" ref="E81" ca="1">IF(ISNUMBER(_xll.VoseSimPercentile(NPV_B,$B81)),_xll.VoseSimPercentile(NPV_B,$B81),NA())</f>
        <v>28.429550115067105</v>
      </c>
      <c r="F81" s="66" cm="1">
        <f t="array" aca="1" ref="F81" ca="1">IF(ISNUMBER(_xll.VoseSimPercentile(NPV_C,$B81)),_xll.VoseSimPercentile(NPV_C,$B81),NA())</f>
        <v>28.378484631759072</v>
      </c>
    </row>
    <row r="82" spans="2:6" hidden="1" outlineLevel="1" x14ac:dyDescent="0.45">
      <c r="B82" s="65">
        <v>0.55000000000000004</v>
      </c>
      <c r="C82" s="65">
        <f t="shared" si="0"/>
        <v>0.44999999999999996</v>
      </c>
      <c r="D82" s="66" cm="1">
        <f t="array" aca="1" ref="D82" ca="1">IF(ISNUMBER(_xll.VoseSimPercentile(NPV_A,$B82)),_xll.VoseSimPercentile(NPV_A,$B82),NA())</f>
        <v>32.371797790100118</v>
      </c>
      <c r="E82" s="66" cm="1">
        <f t="array" aca="1" ref="E82" ca="1">IF(ISNUMBER(_xll.VoseSimPercentile(NPV_B,$B82)),_xll.VoseSimPercentile(NPV_B,$B82),NA())</f>
        <v>28.429550115067105</v>
      </c>
      <c r="F82" s="66" cm="1">
        <f t="array" aca="1" ref="F82" ca="1">IF(ISNUMBER(_xll.VoseSimPercentile(NPV_C,$B82)),_xll.VoseSimPercentile(NPV_C,$B82),NA())</f>
        <v>28.429550115067105</v>
      </c>
    </row>
    <row r="83" spans="2:6" hidden="1" outlineLevel="1" x14ac:dyDescent="0.45">
      <c r="B83" s="65">
        <v>0.56999999999999995</v>
      </c>
      <c r="C83" s="65">
        <f t="shared" si="0"/>
        <v>0.43000000000000005</v>
      </c>
      <c r="D83" s="66" cm="1">
        <f t="array" aca="1" ref="D83" ca="1">IF(ISNUMBER(_xll.VoseSimPercentile(NPV_A,$B83)),_xll.VoseSimPercentile(NPV_A,$B83),NA())</f>
        <v>35.480375669486975</v>
      </c>
      <c r="E83" s="66" cm="1">
        <f t="array" aca="1" ref="E83" ca="1">IF(ISNUMBER(_xll.VoseSimPercentile(NPV_B,$B83)),_xll.VoseSimPercentile(NPV_B,$B83),NA())</f>
        <v>28.429550115067105</v>
      </c>
      <c r="F83" s="66" cm="1">
        <f t="array" aca="1" ref="F83" ca="1">IF(ISNUMBER(_xll.VoseSimPercentile(NPV_C,$B83)),_xll.VoseSimPercentile(NPV_C,$B83),NA())</f>
        <v>28.429550115067105</v>
      </c>
    </row>
    <row r="84" spans="2:6" hidden="1" outlineLevel="1" x14ac:dyDescent="0.45">
      <c r="B84" s="65">
        <v>0.59</v>
      </c>
      <c r="C84" s="65">
        <f t="shared" si="0"/>
        <v>0.41000000000000003</v>
      </c>
      <c r="D84" s="66" cm="1">
        <f t="array" aca="1" ref="D84" ca="1">IF(ISNUMBER(_xll.VoseSimPercentile(NPV_A,$B84)),_xll.VoseSimPercentile(NPV_A,$B84),NA())</f>
        <v>38.526025413231388</v>
      </c>
      <c r="E84" s="66" cm="1">
        <f t="array" aca="1" ref="E84" ca="1">IF(ISNUMBER(_xll.VoseSimPercentile(NPV_B,$B84)),_xll.VoseSimPercentile(NPV_B,$B84),NA())</f>
        <v>28.429550115067105</v>
      </c>
      <c r="F84" s="66" cm="1">
        <f t="array" aca="1" ref="F84" ca="1">IF(ISNUMBER(_xll.VoseSimPercentile(NPV_C,$B84)),_xll.VoseSimPercentile(NPV_C,$B84),NA())</f>
        <v>28.429550115067105</v>
      </c>
    </row>
    <row r="85" spans="2:6" hidden="1" outlineLevel="1" x14ac:dyDescent="0.45">
      <c r="B85" s="65">
        <v>0.61</v>
      </c>
      <c r="C85" s="65">
        <f t="shared" si="0"/>
        <v>0.39</v>
      </c>
      <c r="D85" s="66" cm="1">
        <f t="array" aca="1" ref="D85" ca="1">IF(ISNUMBER(_xll.VoseSimPercentile(NPV_A,$B85)),_xll.VoseSimPercentile(NPV_A,$B85),NA())</f>
        <v>41.655079592384539</v>
      </c>
      <c r="E85" s="66" cm="1">
        <f t="array" aca="1" ref="E85" ca="1">IF(ISNUMBER(_xll.VoseSimPercentile(NPV_B,$B85)),_xll.VoseSimPercentile(NPV_B,$B85),NA())</f>
        <v>28.429550115067105</v>
      </c>
      <c r="F85" s="66" cm="1">
        <f t="array" aca="1" ref="F85" ca="1">IF(ISNUMBER(_xll.VoseSimPercentile(NPV_C,$B85)),_xll.VoseSimPercentile(NPV_C,$B85),NA())</f>
        <v>28.429550115067105</v>
      </c>
    </row>
    <row r="86" spans="2:6" hidden="1" outlineLevel="1" x14ac:dyDescent="0.45">
      <c r="B86" s="65">
        <v>0.63</v>
      </c>
      <c r="C86" s="65">
        <f t="shared" si="0"/>
        <v>0.37</v>
      </c>
      <c r="D86" s="66" cm="1">
        <f t="array" aca="1" ref="D86" ca="1">IF(ISNUMBER(_xll.VoseSimPercentile(NPV_A,$B86)),_xll.VoseSimPercentile(NPV_A,$B86),NA())</f>
        <v>44.824787978720103</v>
      </c>
      <c r="E86" s="66" cm="1">
        <f t="array" aca="1" ref="E86" ca="1">IF(ISNUMBER(_xll.VoseSimPercentile(NPV_B,$B86)),_xll.VoseSimPercentile(NPV_B,$B86),NA())</f>
        <v>28.429550115067105</v>
      </c>
      <c r="F86" s="66" cm="1">
        <f t="array" aca="1" ref="F86" ca="1">IF(ISNUMBER(_xll.VoseSimPercentile(NPV_C,$B86)),_xll.VoseSimPercentile(NPV_C,$B86),NA())</f>
        <v>28.429550115067105</v>
      </c>
    </row>
    <row r="87" spans="2:6" hidden="1" outlineLevel="1" x14ac:dyDescent="0.45">
      <c r="B87" s="65">
        <v>0.65</v>
      </c>
      <c r="C87" s="65">
        <f t="shared" ref="C87:C118" si="1">1-B87</f>
        <v>0.35</v>
      </c>
      <c r="D87" s="66" cm="1">
        <f t="array" aca="1" ref="D87" ca="1">IF(ISNUMBER(_xll.VoseSimPercentile(NPV_A,$B87)),_xll.VoseSimPercentile(NPV_A,$B87),NA())</f>
        <v>47.762211642238555</v>
      </c>
      <c r="E87" s="66" cm="1">
        <f t="array" aca="1" ref="E87" ca="1">IF(ISNUMBER(_xll.VoseSimPercentile(NPV_B,$B87)),_xll.VoseSimPercentile(NPV_B,$B87),NA())</f>
        <v>28.429550115067105</v>
      </c>
      <c r="F87" s="66" cm="1">
        <f t="array" aca="1" ref="F87" ca="1">IF(ISNUMBER(_xll.VoseSimPercentile(NPV_C,$B87)),_xll.VoseSimPercentile(NPV_C,$B87),NA())</f>
        <v>28.429550115067105</v>
      </c>
    </row>
    <row r="88" spans="2:6" hidden="1" outlineLevel="1" x14ac:dyDescent="0.45">
      <c r="B88" s="65">
        <v>0.67</v>
      </c>
      <c r="C88" s="65">
        <f t="shared" si="1"/>
        <v>0.32999999999999996</v>
      </c>
      <c r="D88" s="66" cm="1">
        <f t="array" aca="1" ref="D88" ca="1">IF(ISNUMBER(_xll.VoseSimPercentile(NPV_A,$B88)),_xll.VoseSimPercentile(NPV_A,$B88),NA())</f>
        <v>50.652639392160509</v>
      </c>
      <c r="E88" s="66" cm="1">
        <f t="array" aca="1" ref="E88" ca="1">IF(ISNUMBER(_xll.VoseSimPercentile(NPV_B,$B88)),_xll.VoseSimPercentile(NPV_B,$B88),NA())</f>
        <v>28.429550115067105</v>
      </c>
      <c r="F88" s="66" cm="1">
        <f t="array" aca="1" ref="F88" ca="1">IF(ISNUMBER(_xll.VoseSimPercentile(NPV_C,$B88)),_xll.VoseSimPercentile(NPV_C,$B88),NA())</f>
        <v>28.429550115067105</v>
      </c>
    </row>
    <row r="89" spans="2:6" hidden="1" outlineLevel="1" x14ac:dyDescent="0.45">
      <c r="B89" s="65">
        <v>0.69</v>
      </c>
      <c r="C89" s="65">
        <f t="shared" si="1"/>
        <v>0.31000000000000005</v>
      </c>
      <c r="D89" s="66" cm="1">
        <f t="array" aca="1" ref="D89" ca="1">IF(ISNUMBER(_xll.VoseSimPercentile(NPV_A,$B89)),_xll.VoseSimPercentile(NPV_A,$B89),NA())</f>
        <v>53.17023693379992</v>
      </c>
      <c r="E89" s="66" cm="1">
        <f t="array" aca="1" ref="E89" ca="1">IF(ISNUMBER(_xll.VoseSimPercentile(NPV_B,$B89)),_xll.VoseSimPercentile(NPV_B,$B89),NA())</f>
        <v>28.429550115067105</v>
      </c>
      <c r="F89" s="66" cm="1">
        <f t="array" aca="1" ref="F89" ca="1">IF(ISNUMBER(_xll.VoseSimPercentile(NPV_C,$B89)),_xll.VoseSimPercentile(NPV_C,$B89),NA())</f>
        <v>28.429550115067105</v>
      </c>
    </row>
    <row r="90" spans="2:6" hidden="1" outlineLevel="1" x14ac:dyDescent="0.45">
      <c r="B90" s="65">
        <v>0.71</v>
      </c>
      <c r="C90" s="65">
        <f t="shared" si="1"/>
        <v>0.29000000000000004</v>
      </c>
      <c r="D90" s="66" cm="1">
        <f t="array" aca="1" ref="D90" ca="1">IF(ISNUMBER(_xll.VoseSimPercentile(NPV_A,$B90)),_xll.VoseSimPercentile(NPV_A,$B90),NA())</f>
        <v>55.639663018740464</v>
      </c>
      <c r="E90" s="66" cm="1">
        <f t="array" aca="1" ref="E90" ca="1">IF(ISNUMBER(_xll.VoseSimPercentile(NPV_B,$B90)),_xll.VoseSimPercentile(NPV_B,$B90),NA())</f>
        <v>28.429550115067105</v>
      </c>
      <c r="F90" s="66" cm="1">
        <f t="array" aca="1" ref="F90" ca="1">IF(ISNUMBER(_xll.VoseSimPercentile(NPV_C,$B90)),_xll.VoseSimPercentile(NPV_C,$B90),NA())</f>
        <v>28.429550115067105</v>
      </c>
    </row>
    <row r="91" spans="2:6" hidden="1" outlineLevel="1" x14ac:dyDescent="0.45">
      <c r="B91" s="65">
        <v>0.73</v>
      </c>
      <c r="C91" s="65">
        <f t="shared" si="1"/>
        <v>0.27</v>
      </c>
      <c r="D91" s="66" cm="1">
        <f t="array" aca="1" ref="D91" ca="1">IF(ISNUMBER(_xll.VoseSimPercentile(NPV_A,$B91)),_xll.VoseSimPercentile(NPV_A,$B91),NA())</f>
        <v>58.053337440827129</v>
      </c>
      <c r="E91" s="66" cm="1">
        <f t="array" aca="1" ref="E91" ca="1">IF(ISNUMBER(_xll.VoseSimPercentile(NPV_B,$B91)),_xll.VoseSimPercentile(NPV_B,$B91),NA())</f>
        <v>28.429550115067105</v>
      </c>
      <c r="F91" s="66" cm="1">
        <f t="array" aca="1" ref="F91" ca="1">IF(ISNUMBER(_xll.VoseSimPercentile(NPV_C,$B91)),_xll.VoseSimPercentile(NPV_C,$B91),NA())</f>
        <v>28.429550115067105</v>
      </c>
    </row>
    <row r="92" spans="2:6" hidden="1" outlineLevel="1" x14ac:dyDescent="0.45">
      <c r="B92" s="65">
        <v>0.75</v>
      </c>
      <c r="C92" s="65">
        <f t="shared" si="1"/>
        <v>0.25</v>
      </c>
      <c r="D92" s="66" cm="1">
        <f t="array" aca="1" ref="D92" ca="1">IF(ISNUMBER(_xll.VoseSimPercentile(NPV_A,$B92)),_xll.VoseSimPercentile(NPV_A,$B92),NA())</f>
        <v>60.470584528100041</v>
      </c>
      <c r="E92" s="66" cm="1">
        <f t="array" aca="1" ref="E92" ca="1">IF(ISNUMBER(_xll.VoseSimPercentile(NPV_B,$B92)),_xll.VoseSimPercentile(NPV_B,$B92),NA())</f>
        <v>28.429550115067105</v>
      </c>
      <c r="F92" s="66" cm="1">
        <f t="array" aca="1" ref="F92" ca="1">IF(ISNUMBER(_xll.VoseSimPercentile(NPV_C,$B92)),_xll.VoseSimPercentile(NPV_C,$B92),NA())</f>
        <v>28.429550115067105</v>
      </c>
    </row>
    <row r="93" spans="2:6" hidden="1" outlineLevel="1" x14ac:dyDescent="0.45">
      <c r="B93" s="65">
        <v>0.77</v>
      </c>
      <c r="C93" s="65">
        <f t="shared" si="1"/>
        <v>0.22999999999999998</v>
      </c>
      <c r="D93" s="66" cm="1">
        <f t="array" aca="1" ref="D93" ca="1">IF(ISNUMBER(_xll.VoseSimPercentile(NPV_A,$B93)),_xll.VoseSimPercentile(NPV_A,$B93),NA())</f>
        <v>62.851918057844458</v>
      </c>
      <c r="E93" s="66" cm="1">
        <f t="array" aca="1" ref="E93" ca="1">IF(ISNUMBER(_xll.VoseSimPercentile(NPV_B,$B93)),_xll.VoseSimPercentile(NPV_B,$B93),NA())</f>
        <v>28.429550115067105</v>
      </c>
      <c r="F93" s="66" cm="1">
        <f t="array" aca="1" ref="F93" ca="1">IF(ISNUMBER(_xll.VoseSimPercentile(NPV_C,$B93)),_xll.VoseSimPercentile(NPV_C,$B93),NA())</f>
        <v>32.283606031006116</v>
      </c>
    </row>
    <row r="94" spans="2:6" hidden="1" outlineLevel="1" x14ac:dyDescent="0.45">
      <c r="B94" s="65">
        <v>0.79</v>
      </c>
      <c r="C94" s="65">
        <f t="shared" si="1"/>
        <v>0.20999999999999996</v>
      </c>
      <c r="D94" s="66" cm="1">
        <f t="array" aca="1" ref="D94" ca="1">IF(ISNUMBER(_xll.VoseSimPercentile(NPV_A,$B94)),_xll.VoseSimPercentile(NPV_A,$B94),NA())</f>
        <v>64.759105633537729</v>
      </c>
      <c r="E94" s="66" cm="1">
        <f t="array" aca="1" ref="E94" ca="1">IF(ISNUMBER(_xll.VoseSimPercentile(NPV_B,$B94)),_xll.VoseSimPercentile(NPV_B,$B94),NA())</f>
        <v>28.429550115067105</v>
      </c>
      <c r="F94" s="66" cm="1">
        <f t="array" aca="1" ref="F94" ca="1">IF(ISNUMBER(_xll.VoseSimPercentile(NPV_C,$B94)),_xll.VoseSimPercentile(NPV_C,$B94),NA())</f>
        <v>39.826047425254295</v>
      </c>
    </row>
    <row r="95" spans="2:6" hidden="1" outlineLevel="1" x14ac:dyDescent="0.45">
      <c r="B95" s="65">
        <v>0.81</v>
      </c>
      <c r="C95" s="65">
        <f t="shared" si="1"/>
        <v>0.18999999999999995</v>
      </c>
      <c r="D95" s="66" cm="1">
        <f t="array" aca="1" ref="D95" ca="1">IF(ISNUMBER(_xll.VoseSimPercentile(NPV_A,$B95)),_xll.VoseSimPercentile(NPV_A,$B95),NA())</f>
        <v>66.88870891074265</v>
      </c>
      <c r="E95" s="66" cm="1">
        <f t="array" aca="1" ref="E95" ca="1">IF(ISNUMBER(_xll.VoseSimPercentile(NPV_B,$B95)),_xll.VoseSimPercentile(NPV_B,$B95),NA())</f>
        <v>28.429550115067105</v>
      </c>
      <c r="F95" s="66" cm="1">
        <f t="array" aca="1" ref="F95" ca="1">IF(ISNUMBER(_xll.VoseSimPercentile(NPV_C,$B95)),_xll.VoseSimPercentile(NPV_C,$B95),NA())</f>
        <v>45.634438534706149</v>
      </c>
    </row>
    <row r="96" spans="2:6" hidden="1" outlineLevel="1" x14ac:dyDescent="0.45">
      <c r="B96" s="65">
        <v>0.83</v>
      </c>
      <c r="C96" s="65">
        <f t="shared" si="1"/>
        <v>0.17000000000000004</v>
      </c>
      <c r="D96" s="66" cm="1">
        <f t="array" aca="1" ref="D96" ca="1">IF(ISNUMBER(_xll.VoseSimPercentile(NPV_A,$B96)),_xll.VoseSimPercentile(NPV_A,$B96),NA())</f>
        <v>68.804596558327702</v>
      </c>
      <c r="E96" s="66" cm="1">
        <f t="array" aca="1" ref="E96" ca="1">IF(ISNUMBER(_xll.VoseSimPercentile(NPV_B,$B96)),_xll.VoseSimPercentile(NPV_B,$B96),NA())</f>
        <v>28.429550115067105</v>
      </c>
      <c r="F96" s="66" cm="1">
        <f t="array" aca="1" ref="F96" ca="1">IF(ISNUMBER(_xll.VoseSimPercentile(NPV_C,$B96)),_xll.VoseSimPercentile(NPV_C,$B96),NA())</f>
        <v>50.535542048238796</v>
      </c>
    </row>
    <row r="97" spans="2:8" hidden="1" outlineLevel="1" x14ac:dyDescent="0.45">
      <c r="B97" s="65">
        <v>0.85</v>
      </c>
      <c r="C97" s="65">
        <f t="shared" si="1"/>
        <v>0.15000000000000002</v>
      </c>
      <c r="D97" s="66" cm="1">
        <f t="array" aca="1" ref="D97" ca="1">IF(ISNUMBER(_xll.VoseSimPercentile(NPV_A,$B97)),_xll.VoseSimPercentile(NPV_A,$B97),NA())</f>
        <v>70.507548539790378</v>
      </c>
      <c r="E97" s="66" cm="1">
        <f t="array" aca="1" ref="E97" ca="1">IF(ISNUMBER(_xll.VoseSimPercentile(NPV_B,$B97)),_xll.VoseSimPercentile(NPV_B,$B97),NA())</f>
        <v>28.429550115067105</v>
      </c>
      <c r="F97" s="66" cm="1">
        <f t="array" aca="1" ref="F97" ca="1">IF(ISNUMBER(_xll.VoseSimPercentile(NPV_C,$B97)),_xll.VoseSimPercentile(NPV_C,$B97),NA())</f>
        <v>53.580028587746526</v>
      </c>
    </row>
    <row r="98" spans="2:8" hidden="1" outlineLevel="1" x14ac:dyDescent="0.45">
      <c r="B98" s="65">
        <v>0.87</v>
      </c>
      <c r="C98" s="65">
        <f t="shared" si="1"/>
        <v>0.13</v>
      </c>
      <c r="D98" s="66" cm="1">
        <f t="array" aca="1" ref="D98" ca="1">IF(ISNUMBER(_xll.VoseSimPercentile(NPV_A,$B98)),_xll.VoseSimPercentile(NPV_A,$B98),NA())</f>
        <v>72.070298881914056</v>
      </c>
      <c r="E98" s="66" cm="1">
        <f t="array" aca="1" ref="E98" ca="1">IF(ISNUMBER(_xll.VoseSimPercentile(NPV_B,$B98)),_xll.VoseSimPercentile(NPV_B,$B98),NA())</f>
        <v>28.429550115067105</v>
      </c>
      <c r="F98" s="66" cm="1">
        <f t="array" aca="1" ref="F98" ca="1">IF(ISNUMBER(_xll.VoseSimPercentile(NPV_C,$B98)),_xll.VoseSimPercentile(NPV_C,$B98),NA())</f>
        <v>56.033350360496335</v>
      </c>
    </row>
    <row r="99" spans="2:8" hidden="1" outlineLevel="1" x14ac:dyDescent="0.45">
      <c r="B99" s="65">
        <v>0.89</v>
      </c>
      <c r="C99" s="65">
        <f t="shared" si="1"/>
        <v>0.10999999999999999</v>
      </c>
      <c r="D99" s="66" cm="1">
        <f t="array" aca="1" ref="D99" ca="1">IF(ISNUMBER(_xll.VoseSimPercentile(NPV_A,$B99)),_xll.VoseSimPercentile(NPV_A,$B99),NA())</f>
        <v>73.544287582849648</v>
      </c>
      <c r="E99" s="66" cm="1">
        <f t="array" aca="1" ref="E99" ca="1">IF(ISNUMBER(_xll.VoseSimPercentile(NPV_B,$B99)),_xll.VoseSimPercentile(NPV_B,$B99),NA())</f>
        <v>28.429550115067105</v>
      </c>
      <c r="F99" s="66" cm="1">
        <f t="array" aca="1" ref="F99" ca="1">IF(ISNUMBER(_xll.VoseSimPercentile(NPV_C,$B99)),_xll.VoseSimPercentile(NPV_C,$B99),NA())</f>
        <v>58.103315610639193</v>
      </c>
    </row>
    <row r="100" spans="2:8" hidden="1" outlineLevel="1" x14ac:dyDescent="0.45">
      <c r="B100" s="65">
        <v>0.91</v>
      </c>
      <c r="C100" s="65">
        <f t="shared" si="1"/>
        <v>8.9999999999999969E-2</v>
      </c>
      <c r="D100" s="66" cm="1">
        <f t="array" aca="1" ref="D100" ca="1">IF(ISNUMBER(_xll.VoseSimPercentile(NPV_A,$B100)),_xll.VoseSimPercentile(NPV_A,$B100),NA())</f>
        <v>75.084588909839766</v>
      </c>
      <c r="E100" s="66" cm="1">
        <f t="array" aca="1" ref="E100" ca="1">IF(ISNUMBER(_xll.VoseSimPercentile(NPV_B,$B100)),_xll.VoseSimPercentile(NPV_B,$B100),NA())</f>
        <v>28.429550115067105</v>
      </c>
      <c r="F100" s="66" cm="1">
        <f t="array" aca="1" ref="F100" ca="1">IF(ISNUMBER(_xll.VoseSimPercentile(NPV_C,$B100)),_xll.VoseSimPercentile(NPV_C,$B100),NA())</f>
        <v>58.103315610639193</v>
      </c>
    </row>
    <row r="101" spans="2:8" hidden="1" outlineLevel="1" x14ac:dyDescent="0.45">
      <c r="B101" s="65">
        <v>0.93</v>
      </c>
      <c r="C101" s="65">
        <f t="shared" si="1"/>
        <v>6.9999999999999951E-2</v>
      </c>
      <c r="D101" s="66" cm="1">
        <f t="array" aca="1" ref="D101" ca="1">IF(ISNUMBER(_xll.VoseSimPercentile(NPV_A,$B101)),_xll.VoseSimPercentile(NPV_A,$B101),NA())</f>
        <v>76.577384088394211</v>
      </c>
      <c r="E101" s="66" cm="1">
        <f t="array" aca="1" ref="E101" ca="1">IF(ISNUMBER(_xll.VoseSimPercentile(NPV_B,$B101)),_xll.VoseSimPercentile(NPV_B,$B101),NA())</f>
        <v>28.429550115067105</v>
      </c>
      <c r="F101" s="66" cm="1">
        <f t="array" aca="1" ref="F101" ca="1">IF(ISNUMBER(_xll.VoseSimPercentile(NPV_C,$B101)),_xll.VoseSimPercentile(NPV_C,$B101),NA())</f>
        <v>58.103315610639193</v>
      </c>
    </row>
    <row r="102" spans="2:8" hidden="1" outlineLevel="1" x14ac:dyDescent="0.45">
      <c r="B102" s="65">
        <v>0.95</v>
      </c>
      <c r="C102" s="65">
        <f t="shared" si="1"/>
        <v>5.0000000000000044E-2</v>
      </c>
      <c r="D102" s="66" cm="1">
        <f t="array" aca="1" ref="D102" ca="1">IF(ISNUMBER(_xll.VoseSimPercentile(NPV_A,$B102)),_xll.VoseSimPercentile(NPV_A,$B102),NA())</f>
        <v>76.859100230134203</v>
      </c>
      <c r="E102" s="66" cm="1">
        <f t="array" aca="1" ref="E102" ca="1">IF(ISNUMBER(_xll.VoseSimPercentile(NPV_B,$B102)),_xll.VoseSimPercentile(NPV_B,$B102),NA())</f>
        <v>28.429550115067105</v>
      </c>
      <c r="F102" s="66" cm="1">
        <f t="array" aca="1" ref="F102" ca="1">IF(ISNUMBER(_xll.VoseSimPercentile(NPV_C,$B102)),_xll.VoseSimPercentile(NPV_C,$B102),NA())</f>
        <v>58.103315610639193</v>
      </c>
    </row>
    <row r="103" spans="2:8" hidden="1" outlineLevel="1" x14ac:dyDescent="0.45">
      <c r="B103" s="65">
        <v>0.97</v>
      </c>
      <c r="C103" s="65">
        <f t="shared" si="1"/>
        <v>3.0000000000000027E-2</v>
      </c>
      <c r="D103" s="66" cm="1">
        <f t="array" aca="1" ref="D103" ca="1">IF(ISNUMBER(_xll.VoseSimPercentile(NPV_A,$B103)),_xll.VoseSimPercentile(NPV_A,$B103),NA())</f>
        <v>76.859100230134203</v>
      </c>
      <c r="E103" s="66" cm="1">
        <f t="array" aca="1" ref="E103" ca="1">IF(ISNUMBER(_xll.VoseSimPercentile(NPV_B,$B103)),_xll.VoseSimPercentile(NPV_B,$B103),NA())</f>
        <v>28.429550115067105</v>
      </c>
      <c r="F103" s="66" cm="1">
        <f t="array" aca="1" ref="F103" ca="1">IF(ISNUMBER(_xll.VoseSimPercentile(NPV_C,$B103)),_xll.VoseSimPercentile(NPV_C,$B103),NA())</f>
        <v>58.103315610639193</v>
      </c>
    </row>
    <row r="104" spans="2:8" hidden="1" outlineLevel="1" x14ac:dyDescent="0.45">
      <c r="B104" s="65">
        <v>0.99</v>
      </c>
      <c r="C104" s="65">
        <f t="shared" si="1"/>
        <v>1.0000000000000009E-2</v>
      </c>
      <c r="D104" s="66" cm="1">
        <f t="array" aca="1" ref="D104" ca="1">IF(ISNUMBER(_xll.VoseSimPercentile(NPV_A,$B104)),_xll.VoseSimPercentile(NPV_A,$B104),NA())</f>
        <v>76.859100230134203</v>
      </c>
      <c r="E104" s="66" cm="1">
        <f t="array" aca="1" ref="E104" ca="1">IF(ISNUMBER(_xll.VoseSimPercentile(NPV_B,$B104)),_xll.VoseSimPercentile(NPV_B,$B104),NA())</f>
        <v>28.429550115067105</v>
      </c>
      <c r="F104" s="66" cm="1">
        <f t="array" aca="1" ref="F104" ca="1">IF(ISNUMBER(_xll.VoseSimPercentile(NPV_C,$B104)),_xll.VoseSimPercentile(NPV_C,$B104),NA())</f>
        <v>58.103315610639193</v>
      </c>
    </row>
    <row r="105" spans="2:8" hidden="1" outlineLevel="1" x14ac:dyDescent="0.45"/>
    <row r="106" spans="2:8" ht="28.05" hidden="1" customHeight="1" outlineLevel="1" x14ac:dyDescent="0.45">
      <c r="B106" s="23" t="s">
        <v>252</v>
      </c>
      <c r="C106" s="24" t="s">
        <v>253</v>
      </c>
      <c r="D106" s="24" t="s">
        <v>254</v>
      </c>
      <c r="E106" s="24" t="s">
        <v>255</v>
      </c>
      <c r="F106" s="24" t="s">
        <v>217</v>
      </c>
      <c r="G106" s="24" t="s">
        <v>256</v>
      </c>
      <c r="H106" s="24" t="s">
        <v>257</v>
      </c>
    </row>
    <row r="107" spans="2:8" hidden="1" outlineLevel="1" x14ac:dyDescent="0.45">
      <c r="B107" s="67">
        <f>Strategies!G6</f>
        <v>1</v>
      </c>
      <c r="C107" s="66" cm="1">
        <f t="array" aca="1" ref="C107" ca="1">IF(ISNUMBER(_xll.VoseSimPercentile(Strategies!G17,0.1)),_xll.VoseSimPercentile(Strategies!G17,0.1),NA())</f>
        <v>67.062442042855508</v>
      </c>
      <c r="D107" s="66" cm="1">
        <f t="array" aca="1" ref="D107" ca="1">IF(ISNUMBER(_xll.VoseSimPercentile(Strategies!G17,0.5)),_xll.VoseSimPercentile(Strategies!G17,0.5),NA())</f>
        <v>98.081885718678791</v>
      </c>
      <c r="E107" s="66" cm="1">
        <f t="array" aca="1" ref="E107" ca="1">IF(ISNUMBER(_xll.VoseSimPercentile(Strategies!G17,0.9)),_xll.VoseSimPercentile(Strategies!G17,0.9),NA())</f>
        <v>144.64945109948076</v>
      </c>
      <c r="F107" s="66" cm="1">
        <f t="array" aca="1" ref="F107" ca="1">IF(ISNUMBER(_xll.VoseSimMean(Strategies!G17)),_xll.VoseSimMean(Strategies!G17),NA())</f>
        <v>102.9130080606286</v>
      </c>
      <c r="G107" s="66">
        <f t="shared" ref="G107:G116" si="2">ExpandAt</f>
        <v>120</v>
      </c>
      <c r="H107" s="66">
        <f t="shared" ref="H107:H116" si="3">AbandonAt</f>
        <v>40</v>
      </c>
    </row>
    <row r="108" spans="2:8" hidden="1" outlineLevel="1" x14ac:dyDescent="0.45">
      <c r="B108" s="67">
        <f>Strategies!H6</f>
        <v>2</v>
      </c>
      <c r="C108" s="66" cm="1">
        <f t="array" aca="1" ref="C108" ca="1">IF(ISNUMBER(_xll.VoseSimPercentile(Strategies!H17,0.1)),_xll.VoseSimPercentile(Strategies!H17,0.1),NA())</f>
        <v>56.686718465416277</v>
      </c>
      <c r="D108" s="66" cm="1">
        <f t="array" aca="1" ref="D108" ca="1">IF(ISNUMBER(_xll.VoseSimPercentile(Strategies!H17,0.5)),_xll.VoseSimPercentile(Strategies!H17,0.5),NA())</f>
        <v>96.917779179091426</v>
      </c>
      <c r="E108" s="66" cm="1">
        <f t="array" aca="1" ref="E108" ca="1">IF(ISNUMBER(_xll.VoseSimPercentile(Strategies!H17,0.9)),_xll.VoseSimPercentile(Strategies!H17,0.9),NA())</f>
        <v>167.97402577857309</v>
      </c>
      <c r="F108" s="66" cm="1">
        <f t="array" aca="1" ref="F108" ca="1">IF(ISNUMBER(_xll.VoseSimMean(Strategies!H17)),_xll.VoseSimMean(Strategies!H17),NA())</f>
        <v>106.70853514576251</v>
      </c>
      <c r="G108" s="66">
        <f t="shared" si="2"/>
        <v>120</v>
      </c>
      <c r="H108" s="66">
        <f t="shared" si="3"/>
        <v>40</v>
      </c>
    </row>
    <row r="109" spans="2:8" hidden="1" outlineLevel="1" x14ac:dyDescent="0.45">
      <c r="B109" s="67">
        <f>Strategies!I6</f>
        <v>3</v>
      </c>
      <c r="C109" s="66" cm="1">
        <f t="array" aca="1" ref="C109" ca="1">IF(ISNUMBER(_xll.VoseSimPercentile(Strategies!I17,0.1)),_xll.VoseSimPercentile(Strategies!I17,0.1),NA())</f>
        <v>49.133618885970854</v>
      </c>
      <c r="D109" s="66" cm="1">
        <f t="array" aca="1" ref="D109" ca="1">IF(ISNUMBER(_xll.VoseSimPercentile(Strategies!I17,0.5)),_xll.VoseSimPercentile(Strategies!I17,0.5),NA())</f>
        <v>95.558978234768105</v>
      </c>
      <c r="E109" s="66" cm="1">
        <f t="array" aca="1" ref="E109" ca="1">IF(ISNUMBER(_xll.VoseSimPercentile(Strategies!I17,0.9)),_xll.VoseSimPercentile(Strategies!I17,0.9),NA())</f>
        <v>188.47664597066742</v>
      </c>
      <c r="F109" s="66" cm="1">
        <f t="array" aca="1" ref="F109" ca="1">IF(ISNUMBER(_xll.VoseSimMean(Strategies!I17)),_xll.VoseSimMean(Strategies!I17),NA())</f>
        <v>110.32819911880657</v>
      </c>
      <c r="G109" s="66">
        <f t="shared" si="2"/>
        <v>120</v>
      </c>
      <c r="H109" s="66">
        <f t="shared" si="3"/>
        <v>40</v>
      </c>
    </row>
    <row r="110" spans="2:8" hidden="1" outlineLevel="1" x14ac:dyDescent="0.45">
      <c r="B110" s="67">
        <f>Strategies!J6</f>
        <v>4</v>
      </c>
      <c r="C110" s="66" cm="1">
        <f t="array" aca="1" ref="C110" ca="1">IF(ISNUMBER(_xll.VoseSimPercentile(Strategies!J17,0.1)),_xll.VoseSimPercentile(Strategies!J17,0.1),NA())</f>
        <v>43.625187346625516</v>
      </c>
      <c r="D110" s="66" cm="1">
        <f t="array" aca="1" ref="D110" ca="1">IF(ISNUMBER(_xll.VoseSimPercentile(Strategies!J17,0.5)),_xll.VoseSimPercentile(Strategies!J17,0.5),NA())</f>
        <v>94.621343961708263</v>
      </c>
      <c r="E110" s="66" cm="1">
        <f t="array" aca="1" ref="E110" ca="1">IF(ISNUMBER(_xll.VoseSimPercentile(Strategies!J17,0.9)),_xll.VoseSimPercentile(Strategies!J17,0.9),NA())</f>
        <v>204.05343604122538</v>
      </c>
      <c r="F110" s="66" cm="1">
        <f t="array" aca="1" ref="F110" ca="1">IF(ISNUMBER(_xll.VoseSimMean(Strategies!J17)),_xll.VoseSimMean(Strategies!J17),NA())</f>
        <v>113.06480710826887</v>
      </c>
      <c r="G110" s="66">
        <f t="shared" si="2"/>
        <v>120</v>
      </c>
      <c r="H110" s="66">
        <f t="shared" si="3"/>
        <v>40</v>
      </c>
    </row>
    <row r="111" spans="2:8" hidden="1" outlineLevel="1" x14ac:dyDescent="0.45">
      <c r="B111" s="67">
        <f>Strategies!K6</f>
        <v>5</v>
      </c>
      <c r="C111" s="66" cm="1">
        <f t="array" aca="1" ref="C111" ca="1">IF(ISNUMBER(_xll.VoseSimPercentile(Strategies!K17,0.1)),_xll.VoseSimPercentile(Strategies!K17,0.1),NA())</f>
        <v>38.882204586347264</v>
      </c>
      <c r="D111" s="66" cm="1">
        <f t="array" aca="1" ref="D111" ca="1">IF(ISNUMBER(_xll.VoseSimPercentile(Strategies!K17,0.5)),_xll.VoseSimPercentile(Strategies!K17,0.5),NA())</f>
        <v>93.677590998580158</v>
      </c>
      <c r="E111" s="66" cm="1">
        <f t="array" aca="1" ref="E111" ca="1">IF(ISNUMBER(_xll.VoseSimPercentile(Strategies!K17,0.9)),_xll.VoseSimPercentile(Strategies!K17,0.9),NA())</f>
        <v>219.09044575263295</v>
      </c>
      <c r="F111" s="66" cm="1">
        <f t="array" aca="1" ref="F111" ca="1">IF(ISNUMBER(_xll.VoseSimMean(Strategies!K17)),_xll.VoseSimMean(Strategies!K17),NA())</f>
        <v>116.95319944280781</v>
      </c>
      <c r="G111" s="66">
        <f t="shared" si="2"/>
        <v>120</v>
      </c>
      <c r="H111" s="66">
        <f t="shared" si="3"/>
        <v>40</v>
      </c>
    </row>
    <row r="112" spans="2:8" hidden="1" outlineLevel="1" x14ac:dyDescent="0.45">
      <c r="B112" s="67">
        <f>Strategies!L6</f>
        <v>6</v>
      </c>
      <c r="C112" s="66" cm="1">
        <f t="array" aca="1" ref="C112" ca="1">IF(ISNUMBER(_xll.VoseSimPercentile(Strategies!L17,0.1)),_xll.VoseSimPercentile(Strategies!L17,0.1),NA())</f>
        <v>35.360653018016315</v>
      </c>
      <c r="D112" s="66" cm="1">
        <f t="array" aca="1" ref="D112" ca="1">IF(ISNUMBER(_xll.VoseSimPercentile(Strategies!L17,0.5)),_xll.VoseSimPercentile(Strategies!L17,0.5),NA())</f>
        <v>92.329572427772803</v>
      </c>
      <c r="E112" s="66" cm="1">
        <f t="array" aca="1" ref="E112" ca="1">IF(ISNUMBER(_xll.VoseSimPercentile(Strategies!L17,0.9)),_xll.VoseSimPercentile(Strategies!L17,0.9),NA())</f>
        <v>232.54170401229115</v>
      </c>
      <c r="F112" s="66" cm="1">
        <f t="array" aca="1" ref="F112" ca="1">IF(ISNUMBER(_xll.VoseSimMean(Strategies!L17)),_xll.VoseSimMean(Strategies!L17),NA())</f>
        <v>119.49283129143686</v>
      </c>
      <c r="G112" s="66">
        <f t="shared" si="2"/>
        <v>120</v>
      </c>
      <c r="H112" s="66">
        <f t="shared" si="3"/>
        <v>40</v>
      </c>
    </row>
    <row r="113" spans="2:8" hidden="1" outlineLevel="1" x14ac:dyDescent="0.45">
      <c r="B113" s="67">
        <f>Strategies!M6</f>
        <v>7</v>
      </c>
      <c r="C113" s="66" cm="1">
        <f t="array" aca="1" ref="C113" ca="1">IF(ISNUMBER(_xll.VoseSimPercentile(Strategies!M17,0.1)),_xll.VoseSimPercentile(Strategies!M17,0.1),NA())</f>
        <v>32.75975980002012</v>
      </c>
      <c r="D113" s="66" cm="1">
        <f t="array" aca="1" ref="D113" ca="1">IF(ISNUMBER(_xll.VoseSimPercentile(Strategies!M17,0.5)),_xll.VoseSimPercentile(Strategies!M17,0.5),NA())</f>
        <v>90.064690219460701</v>
      </c>
      <c r="E113" s="66" cm="1">
        <f t="array" aca="1" ref="E113" ca="1">IF(ISNUMBER(_xll.VoseSimPercentile(Strategies!M17,0.9)),_xll.VoseSimPercentile(Strategies!M17,0.9),NA())</f>
        <v>244.05543285482463</v>
      </c>
      <c r="F113" s="66" cm="1">
        <f t="array" aca="1" ref="F113" ca="1">IF(ISNUMBER(_xll.VoseSimMean(Strategies!M17)),_xll.VoseSimMean(Strategies!M17),NA())</f>
        <v>122.55947552837296</v>
      </c>
      <c r="G113" s="66">
        <f t="shared" si="2"/>
        <v>120</v>
      </c>
      <c r="H113" s="66">
        <f t="shared" si="3"/>
        <v>40</v>
      </c>
    </row>
    <row r="114" spans="2:8" hidden="1" outlineLevel="1" x14ac:dyDescent="0.45">
      <c r="B114" s="67">
        <f>Strategies!N6</f>
        <v>8</v>
      </c>
      <c r="C114" s="66" cm="1">
        <f t="array" aca="1" ref="C114" ca="1">IF(ISNUMBER(_xll.VoseSimPercentile(Strategies!N17,0.1)),_xll.VoseSimPercentile(Strategies!N17,0.1),NA())</f>
        <v>30.225853672909146</v>
      </c>
      <c r="D114" s="66" cm="1">
        <f t="array" aca="1" ref="D114" ca="1">IF(ISNUMBER(_xll.VoseSimPercentile(Strategies!N17,0.5)),_xll.VoseSimPercentile(Strategies!N17,0.5),NA())</f>
        <v>88.790164030634898</v>
      </c>
      <c r="E114" s="66" cm="1">
        <f t="array" aca="1" ref="E114" ca="1">IF(ISNUMBER(_xll.VoseSimPercentile(Strategies!N17,0.9)),_xll.VoseSimPercentile(Strategies!N17,0.9),NA())</f>
        <v>257.94704701213197</v>
      </c>
      <c r="F114" s="66" cm="1">
        <f t="array" aca="1" ref="F114" ca="1">IF(ISNUMBER(_xll.VoseSimMean(Strategies!N17)),_xll.VoseSimMean(Strategies!N17),NA())</f>
        <v>125.32455935701283</v>
      </c>
      <c r="G114" s="66">
        <f t="shared" si="2"/>
        <v>120</v>
      </c>
      <c r="H114" s="66">
        <f t="shared" si="3"/>
        <v>40</v>
      </c>
    </row>
    <row r="115" spans="2:8" hidden="1" outlineLevel="1" x14ac:dyDescent="0.45">
      <c r="B115" s="67">
        <f>Strategies!O6</f>
        <v>9</v>
      </c>
      <c r="C115" s="66" cm="1">
        <f t="array" aca="1" ref="C115" ca="1">IF(ISNUMBER(_xll.VoseSimPercentile(Strategies!O17,0.1)),_xll.VoseSimPercentile(Strategies!O17,0.1),NA())</f>
        <v>27.98289905591648</v>
      </c>
      <c r="D115" s="66" cm="1">
        <f t="array" aca="1" ref="D115" ca="1">IF(ISNUMBER(_xll.VoseSimPercentile(Strategies!O17,0.5)),_xll.VoseSimPercentile(Strategies!O17,0.5),NA())</f>
        <v>87.270258347229671</v>
      </c>
      <c r="E115" s="66" cm="1">
        <f t="array" aca="1" ref="E115" ca="1">IF(ISNUMBER(_xll.VoseSimPercentile(Strategies!O17,0.9)),_xll.VoseSimPercentile(Strategies!O17,0.9),NA())</f>
        <v>274.37705990786509</v>
      </c>
      <c r="F115" s="66" cm="1">
        <f t="array" aca="1" ref="F115" ca="1">IF(ISNUMBER(_xll.VoseSimMean(Strategies!O17)),_xll.VoseSimMean(Strategies!O17),NA())</f>
        <v>129.00242955134914</v>
      </c>
      <c r="G115" s="66">
        <f t="shared" si="2"/>
        <v>120</v>
      </c>
      <c r="H115" s="66">
        <f t="shared" si="3"/>
        <v>40</v>
      </c>
    </row>
    <row r="116" spans="2:8" hidden="1" outlineLevel="1" x14ac:dyDescent="0.45">
      <c r="B116" s="67">
        <f>Strategies!P6</f>
        <v>10</v>
      </c>
      <c r="C116" s="66" cm="1">
        <f t="array" aca="1" ref="C116" ca="1">IF(ISNUMBER(_xll.VoseSimPercentile(Strategies!P17,0.1)),_xll.VoseSimPercentile(Strategies!P17,0.1),NA())</f>
        <v>25.680404567840043</v>
      </c>
      <c r="D116" s="66" cm="1">
        <f t="array" aca="1" ref="D116" ca="1">IF(ISNUMBER(_xll.VoseSimPercentile(Strategies!P17,0.5)),_xll.VoseSimPercentile(Strategies!P17,0.5),NA())</f>
        <v>87.561468572755388</v>
      </c>
      <c r="E116" s="66" cm="1">
        <f t="array" aca="1" ref="E116" ca="1">IF(ISNUMBER(_xll.VoseSimPercentile(Strategies!P17,0.9)),_xll.VoseSimPercentile(Strategies!P17,0.9),NA())</f>
        <v>291.9615316013502</v>
      </c>
      <c r="F116" s="66" cm="1">
        <f t="array" aca="1" ref="F116" ca="1">IF(ISNUMBER(_xll.VoseSimMean(Strategies!P17)),_xll.VoseSimMean(Strategies!P17),NA())</f>
        <v>133.39599437692036</v>
      </c>
      <c r="G116" s="66">
        <f t="shared" si="2"/>
        <v>120</v>
      </c>
      <c r="H116" s="66">
        <f t="shared" si="3"/>
        <v>40</v>
      </c>
    </row>
  </sheetData>
  <mergeCells count="5">
    <mergeCell ref="B47:G47"/>
    <mergeCell ref="B46:G46"/>
    <mergeCell ref="B45:G45"/>
    <mergeCell ref="B49:G49"/>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7:F116">
    <cfRule type="expression" dxfId="1" priority="4">
      <formula>ISNA(C107)</formula>
    </cfRule>
  </conditionalFormatting>
  <conditionalFormatting sqref="D55:F104">
    <cfRule type="expression" dxfId="0" priority="3">
      <formula>ISNA(D55)</formula>
    </cfRule>
  </conditionalFormatting>
  <hyperlinks>
    <hyperlink ref="B4" location="'Strategies'!A1" display="◂  Strategi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3DA99-9A9C-4A31-BD2F-BB76945B0D60}">
  <dimension ref="A1:B1"/>
  <sheetViews>
    <sheetView workbookViewId="0"/>
  </sheetViews>
  <sheetFormatPr defaultRowHeight="14.25" x14ac:dyDescent="0.45"/>
  <sheetData>
    <row r="1" spans="1:2" x14ac:dyDescent="0.45">
      <c r="A1" s="72" t="s">
        <v>258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68DB-8A44-41A6-939E-3F67E465E82C}">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8BC11-A513-43AD-A3B4-3556CC8B9C95}">
  <dimension ref="B3:B152"/>
  <sheetViews>
    <sheetView workbookViewId="0"/>
  </sheetViews>
  <sheetFormatPr defaultRowHeight="14.25" x14ac:dyDescent="0.45"/>
  <sheetData>
    <row r="3" spans="2:2" x14ac:dyDescent="0.45">
      <c r="B3">
        <v>115</v>
      </c>
    </row>
    <row r="4" spans="2:2" x14ac:dyDescent="0.45">
      <c r="B4">
        <v>560</v>
      </c>
    </row>
    <row r="5" spans="2:2" x14ac:dyDescent="0.45">
      <c r="B5">
        <v>678</v>
      </c>
    </row>
    <row r="6" spans="2:2" x14ac:dyDescent="0.45">
      <c r="B6">
        <v>381</v>
      </c>
    </row>
    <row r="7" spans="2:2" x14ac:dyDescent="0.45">
      <c r="B7">
        <v>166</v>
      </c>
    </row>
    <row r="8" spans="2:2" x14ac:dyDescent="0.45">
      <c r="B8">
        <v>72</v>
      </c>
    </row>
    <row r="9" spans="2:2" x14ac:dyDescent="0.45">
      <c r="B9">
        <v>19</v>
      </c>
    </row>
    <row r="10" spans="2:2" x14ac:dyDescent="0.45">
      <c r="B10">
        <v>7</v>
      </c>
    </row>
    <row r="11" spans="2:2" x14ac:dyDescent="0.45">
      <c r="B11">
        <v>1</v>
      </c>
    </row>
    <row r="12" spans="2:2" x14ac:dyDescent="0.45">
      <c r="B12">
        <v>1</v>
      </c>
    </row>
    <row r="13" spans="2:2" x14ac:dyDescent="0.45">
      <c r="B13">
        <v>393</v>
      </c>
    </row>
    <row r="14" spans="2:2" x14ac:dyDescent="0.45">
      <c r="B14">
        <v>836</v>
      </c>
    </row>
    <row r="15" spans="2:2" x14ac:dyDescent="0.45">
      <c r="B15">
        <v>501</v>
      </c>
    </row>
    <row r="16" spans="2:2" x14ac:dyDescent="0.45">
      <c r="B16">
        <v>176</v>
      </c>
    </row>
    <row r="17" spans="2:2" x14ac:dyDescent="0.45">
      <c r="B17">
        <v>62</v>
      </c>
    </row>
    <row r="18" spans="2:2" x14ac:dyDescent="0.45">
      <c r="B18">
        <v>24</v>
      </c>
    </row>
    <row r="19" spans="2:2" x14ac:dyDescent="0.45">
      <c r="B19">
        <v>6</v>
      </c>
    </row>
    <row r="20" spans="2:2" x14ac:dyDescent="0.45">
      <c r="B20">
        <v>0</v>
      </c>
    </row>
    <row r="21" spans="2:2" x14ac:dyDescent="0.45">
      <c r="B21">
        <v>1</v>
      </c>
    </row>
    <row r="22" spans="2:2" x14ac:dyDescent="0.45">
      <c r="B22">
        <v>1</v>
      </c>
    </row>
    <row r="23" spans="2:2" x14ac:dyDescent="0.45">
      <c r="B23">
        <v>580</v>
      </c>
    </row>
    <row r="24" spans="2:2" x14ac:dyDescent="0.45">
      <c r="B24">
        <v>861</v>
      </c>
    </row>
    <row r="25" spans="2:2" x14ac:dyDescent="0.45">
      <c r="B25">
        <v>331</v>
      </c>
    </row>
    <row r="26" spans="2:2" x14ac:dyDescent="0.45">
      <c r="B26">
        <v>145</v>
      </c>
    </row>
    <row r="27" spans="2:2" x14ac:dyDescent="0.45">
      <c r="B27">
        <v>47</v>
      </c>
    </row>
    <row r="28" spans="2:2" x14ac:dyDescent="0.45">
      <c r="B28">
        <v>25</v>
      </c>
    </row>
    <row r="29" spans="2:2" x14ac:dyDescent="0.45">
      <c r="B29">
        <v>4</v>
      </c>
    </row>
    <row r="30" spans="2:2" x14ac:dyDescent="0.45">
      <c r="B30">
        <v>2</v>
      </c>
    </row>
    <row r="31" spans="2:2" x14ac:dyDescent="0.45">
      <c r="B31">
        <v>4</v>
      </c>
    </row>
    <row r="32" spans="2:2" x14ac:dyDescent="0.45">
      <c r="B32">
        <v>1</v>
      </c>
    </row>
    <row r="33" spans="2:2" x14ac:dyDescent="0.45">
      <c r="B33">
        <v>880</v>
      </c>
    </row>
    <row r="34" spans="2:2" x14ac:dyDescent="0.45">
      <c r="B34">
        <v>774</v>
      </c>
    </row>
    <row r="35" spans="2:2" x14ac:dyDescent="0.45">
      <c r="B35">
        <v>229</v>
      </c>
    </row>
    <row r="36" spans="2:2" x14ac:dyDescent="0.45">
      <c r="B36">
        <v>70</v>
      </c>
    </row>
    <row r="37" spans="2:2" x14ac:dyDescent="0.45">
      <c r="B37">
        <v>33</v>
      </c>
    </row>
    <row r="38" spans="2:2" x14ac:dyDescent="0.45">
      <c r="B38">
        <v>9</v>
      </c>
    </row>
    <row r="39" spans="2:2" x14ac:dyDescent="0.45">
      <c r="B39">
        <v>3</v>
      </c>
    </row>
    <row r="40" spans="2:2" x14ac:dyDescent="0.45">
      <c r="B40">
        <v>1</v>
      </c>
    </row>
    <row r="41" spans="2:2" x14ac:dyDescent="0.45">
      <c r="B41">
        <v>0</v>
      </c>
    </row>
    <row r="42" spans="2:2" x14ac:dyDescent="0.45">
      <c r="B42">
        <v>1</v>
      </c>
    </row>
    <row r="43" spans="2:2" x14ac:dyDescent="0.45">
      <c r="B43">
        <v>995</v>
      </c>
    </row>
    <row r="44" spans="2:2" x14ac:dyDescent="0.45">
      <c r="B44">
        <v>661</v>
      </c>
    </row>
    <row r="45" spans="2:2" x14ac:dyDescent="0.45">
      <c r="B45">
        <v>212</v>
      </c>
    </row>
    <row r="46" spans="2:2" x14ac:dyDescent="0.45">
      <c r="B46">
        <v>71</v>
      </c>
    </row>
    <row r="47" spans="2:2" x14ac:dyDescent="0.45">
      <c r="B47">
        <v>33</v>
      </c>
    </row>
    <row r="48" spans="2:2" x14ac:dyDescent="0.45">
      <c r="B48">
        <v>20</v>
      </c>
    </row>
    <row r="49" spans="2:2" x14ac:dyDescent="0.45">
      <c r="B49">
        <v>3</v>
      </c>
    </row>
    <row r="50" spans="2:2" x14ac:dyDescent="0.45">
      <c r="B50">
        <v>4</v>
      </c>
    </row>
    <row r="51" spans="2:2" x14ac:dyDescent="0.45">
      <c r="B51">
        <v>0</v>
      </c>
    </row>
    <row r="52" spans="2:2" x14ac:dyDescent="0.45">
      <c r="B52">
        <v>1</v>
      </c>
    </row>
    <row r="53" spans="2:2" x14ac:dyDescent="0.45">
      <c r="B53">
        <v>1132</v>
      </c>
    </row>
    <row r="54" spans="2:2" x14ac:dyDescent="0.45">
      <c r="B54">
        <v>574</v>
      </c>
    </row>
    <row r="55" spans="2:2" x14ac:dyDescent="0.45">
      <c r="B55">
        <v>185</v>
      </c>
    </row>
    <row r="56" spans="2:2" x14ac:dyDescent="0.45">
      <c r="B56">
        <v>59</v>
      </c>
    </row>
    <row r="57" spans="2:2" x14ac:dyDescent="0.45">
      <c r="B57">
        <v>25</v>
      </c>
    </row>
    <row r="58" spans="2:2" x14ac:dyDescent="0.45">
      <c r="B58">
        <v>14</v>
      </c>
    </row>
    <row r="59" spans="2:2" x14ac:dyDescent="0.45">
      <c r="B59">
        <v>3</v>
      </c>
    </row>
    <row r="60" spans="2:2" x14ac:dyDescent="0.45">
      <c r="B60">
        <v>3</v>
      </c>
    </row>
    <row r="61" spans="2:2" x14ac:dyDescent="0.45">
      <c r="B61">
        <v>3</v>
      </c>
    </row>
    <row r="62" spans="2:2" x14ac:dyDescent="0.45">
      <c r="B62">
        <v>2</v>
      </c>
    </row>
    <row r="63" spans="2:2" x14ac:dyDescent="0.45">
      <c r="B63">
        <v>1413</v>
      </c>
    </row>
    <row r="64" spans="2:2" x14ac:dyDescent="0.45">
      <c r="B64">
        <v>439</v>
      </c>
    </row>
    <row r="65" spans="2:2" x14ac:dyDescent="0.45">
      <c r="B65">
        <v>92</v>
      </c>
    </row>
    <row r="66" spans="2:2" x14ac:dyDescent="0.45">
      <c r="B66">
        <v>34</v>
      </c>
    </row>
    <row r="67" spans="2:2" x14ac:dyDescent="0.45">
      <c r="B67">
        <v>11</v>
      </c>
    </row>
    <row r="68" spans="2:2" x14ac:dyDescent="0.45">
      <c r="B68">
        <v>6</v>
      </c>
    </row>
    <row r="69" spans="2:2" x14ac:dyDescent="0.45">
      <c r="B69">
        <v>3</v>
      </c>
    </row>
    <row r="70" spans="2:2" x14ac:dyDescent="0.45">
      <c r="B70">
        <v>0</v>
      </c>
    </row>
    <row r="71" spans="2:2" x14ac:dyDescent="0.45">
      <c r="B71">
        <v>1</v>
      </c>
    </row>
    <row r="72" spans="2:2" x14ac:dyDescent="0.45">
      <c r="B72">
        <v>1</v>
      </c>
    </row>
    <row r="73" spans="2:2" x14ac:dyDescent="0.45">
      <c r="B73">
        <v>1529</v>
      </c>
    </row>
    <row r="74" spans="2:2" x14ac:dyDescent="0.45">
      <c r="B74">
        <v>348</v>
      </c>
    </row>
    <row r="75" spans="2:2" x14ac:dyDescent="0.45">
      <c r="B75">
        <v>86</v>
      </c>
    </row>
    <row r="76" spans="2:2" x14ac:dyDescent="0.45">
      <c r="B76">
        <v>24</v>
      </c>
    </row>
    <row r="77" spans="2:2" x14ac:dyDescent="0.45">
      <c r="B77">
        <v>7</v>
      </c>
    </row>
    <row r="78" spans="2:2" x14ac:dyDescent="0.45">
      <c r="B78">
        <v>2</v>
      </c>
    </row>
    <row r="79" spans="2:2" x14ac:dyDescent="0.45">
      <c r="B79">
        <v>2</v>
      </c>
    </row>
    <row r="80" spans="2:2" x14ac:dyDescent="0.45">
      <c r="B80">
        <v>0</v>
      </c>
    </row>
    <row r="81" spans="2:2" x14ac:dyDescent="0.45">
      <c r="B81">
        <v>1</v>
      </c>
    </row>
    <row r="82" spans="2:2" x14ac:dyDescent="0.45">
      <c r="B82">
        <v>1</v>
      </c>
    </row>
    <row r="83" spans="2:2" x14ac:dyDescent="0.45">
      <c r="B83">
        <v>1664</v>
      </c>
    </row>
    <row r="84" spans="2:2" x14ac:dyDescent="0.45">
      <c r="B84">
        <v>264</v>
      </c>
    </row>
    <row r="85" spans="2:2" x14ac:dyDescent="0.45">
      <c r="B85">
        <v>47</v>
      </c>
    </row>
    <row r="86" spans="2:2" x14ac:dyDescent="0.45">
      <c r="B86">
        <v>16</v>
      </c>
    </row>
    <row r="87" spans="2:2" x14ac:dyDescent="0.45">
      <c r="B87">
        <v>4</v>
      </c>
    </row>
    <row r="88" spans="2:2" x14ac:dyDescent="0.45">
      <c r="B88">
        <v>2</v>
      </c>
    </row>
    <row r="89" spans="2:2" x14ac:dyDescent="0.45">
      <c r="B89">
        <v>2</v>
      </c>
    </row>
    <row r="90" spans="2:2" x14ac:dyDescent="0.45">
      <c r="B90">
        <v>0</v>
      </c>
    </row>
    <row r="91" spans="2:2" x14ac:dyDescent="0.45">
      <c r="B91">
        <v>0</v>
      </c>
    </row>
    <row r="92" spans="2:2" x14ac:dyDescent="0.45">
      <c r="B92">
        <v>1</v>
      </c>
    </row>
    <row r="93" spans="2:2" x14ac:dyDescent="0.45">
      <c r="B93">
        <v>1661</v>
      </c>
    </row>
    <row r="94" spans="2:2" x14ac:dyDescent="0.45">
      <c r="B94">
        <v>252</v>
      </c>
    </row>
    <row r="95" spans="2:2" x14ac:dyDescent="0.45">
      <c r="B95">
        <v>54</v>
      </c>
    </row>
    <row r="96" spans="2:2" x14ac:dyDescent="0.45">
      <c r="B96">
        <v>20</v>
      </c>
    </row>
    <row r="97" spans="2:2" x14ac:dyDescent="0.45">
      <c r="B97">
        <v>7</v>
      </c>
    </row>
    <row r="98" spans="2:2" x14ac:dyDescent="0.45">
      <c r="B98">
        <v>3</v>
      </c>
    </row>
    <row r="99" spans="2:2" x14ac:dyDescent="0.45">
      <c r="B99">
        <v>1</v>
      </c>
    </row>
    <row r="100" spans="2:2" x14ac:dyDescent="0.45">
      <c r="B100">
        <v>1</v>
      </c>
    </row>
    <row r="101" spans="2:2" x14ac:dyDescent="0.45">
      <c r="B101">
        <v>0</v>
      </c>
    </row>
    <row r="102" spans="2:2" x14ac:dyDescent="0.45">
      <c r="B102">
        <v>1</v>
      </c>
    </row>
    <row r="103" spans="2:2" x14ac:dyDescent="0.45">
      <c r="B103">
        <v>1360</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640</v>
      </c>
    </row>
    <row r="113" spans="2:2" x14ac:dyDescent="0.45">
      <c r="B113">
        <v>1957</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43</v>
      </c>
    </row>
    <row r="123" spans="2:2" x14ac:dyDescent="0.45">
      <c r="B123">
        <v>17</v>
      </c>
    </row>
    <row r="124" spans="2:2" x14ac:dyDescent="0.45">
      <c r="B124">
        <v>62</v>
      </c>
    </row>
    <row r="125" spans="2:2" x14ac:dyDescent="0.45">
      <c r="B125">
        <v>110</v>
      </c>
    </row>
    <row r="126" spans="2:2" x14ac:dyDescent="0.45">
      <c r="B126">
        <v>151</v>
      </c>
    </row>
    <row r="127" spans="2:2" x14ac:dyDescent="0.45">
      <c r="B127">
        <v>162</v>
      </c>
    </row>
    <row r="128" spans="2:2" x14ac:dyDescent="0.45">
      <c r="B128">
        <v>205</v>
      </c>
    </row>
    <row r="129" spans="2:2" x14ac:dyDescent="0.45">
      <c r="B129">
        <v>231</v>
      </c>
    </row>
    <row r="130" spans="2:2" x14ac:dyDescent="0.45">
      <c r="B130">
        <v>212</v>
      </c>
    </row>
    <row r="131" spans="2:2" x14ac:dyDescent="0.45">
      <c r="B131">
        <v>294</v>
      </c>
    </row>
    <row r="132" spans="2:2" x14ac:dyDescent="0.45">
      <c r="B132">
        <v>556</v>
      </c>
    </row>
    <row r="133" spans="2:2" x14ac:dyDescent="0.45">
      <c r="B133">
        <v>4</v>
      </c>
    </row>
    <row r="134" spans="2:2" x14ac:dyDescent="0.45">
      <c r="B134">
        <v>9</v>
      </c>
    </row>
    <row r="135" spans="2:2" x14ac:dyDescent="0.45">
      <c r="B135">
        <v>18</v>
      </c>
    </row>
    <row r="136" spans="2:2" x14ac:dyDescent="0.45">
      <c r="B136">
        <v>37</v>
      </c>
    </row>
    <row r="137" spans="2:2" x14ac:dyDescent="0.45">
      <c r="B137">
        <v>46</v>
      </c>
    </row>
    <row r="138" spans="2:2" x14ac:dyDescent="0.45">
      <c r="B138">
        <v>68</v>
      </c>
    </row>
    <row r="139" spans="2:2" x14ac:dyDescent="0.45">
      <c r="B139">
        <v>87</v>
      </c>
    </row>
    <row r="140" spans="2:2" x14ac:dyDescent="0.45">
      <c r="B140">
        <v>139</v>
      </c>
    </row>
    <row r="141" spans="2:2" x14ac:dyDescent="0.45">
      <c r="B141">
        <v>178</v>
      </c>
    </row>
    <row r="142" spans="2:2" x14ac:dyDescent="0.45">
      <c r="B142">
        <v>1414</v>
      </c>
    </row>
    <row r="143" spans="2:2" x14ac:dyDescent="0.45">
      <c r="B143">
        <v>1</v>
      </c>
    </row>
    <row r="144" spans="2:2" x14ac:dyDescent="0.45">
      <c r="B144">
        <v>4</v>
      </c>
    </row>
    <row r="145" spans="2:2" x14ac:dyDescent="0.45">
      <c r="B145">
        <v>13</v>
      </c>
    </row>
    <row r="146" spans="2:2" x14ac:dyDescent="0.45">
      <c r="B146">
        <v>59</v>
      </c>
    </row>
    <row r="147" spans="2:2" x14ac:dyDescent="0.45">
      <c r="B147">
        <v>138</v>
      </c>
    </row>
    <row r="148" spans="2:2" x14ac:dyDescent="0.45">
      <c r="B148">
        <v>169</v>
      </c>
    </row>
    <row r="149" spans="2:2" x14ac:dyDescent="0.45">
      <c r="B149">
        <v>255</v>
      </c>
    </row>
    <row r="150" spans="2:2" x14ac:dyDescent="0.45">
      <c r="B150">
        <v>896</v>
      </c>
    </row>
    <row r="151" spans="2:2" x14ac:dyDescent="0.45">
      <c r="B151">
        <v>86</v>
      </c>
    </row>
    <row r="152" spans="2:2" x14ac:dyDescent="0.45">
      <c r="B152">
        <v>379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8F8353C3-F253-4EF9-BDA8-3DAC797A118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48</vt:i4>
      </vt:variant>
    </vt:vector>
  </HeadingPairs>
  <TitlesOfParts>
    <vt:vector size="55" baseType="lpstr">
      <vt:lpstr>About</vt:lpstr>
      <vt:lpstr>Inputs</vt:lpstr>
      <vt:lpstr>Strategies</vt:lpstr>
      <vt:lpstr>Results</vt:lpstr>
      <vt:lpstr>ModelRiskDSN</vt:lpstr>
      <vt:lpstr>ModelRiskSYS1</vt:lpstr>
      <vt:lpstr>ModelRiskCharts</vt:lpstr>
      <vt:lpstr>Abandon</vt:lpstr>
      <vt:lpstr>AbandonAt</vt:lpstr>
      <vt:lpstr>Base_A</vt:lpstr>
      <vt:lpstr>Base_B</vt:lpstr>
      <vt:lpstr>Base_C</vt:lpstr>
      <vt:lpstr>BigCap</vt:lpstr>
      <vt:lpstr>BigCapex</vt:lpstr>
      <vt:lpstr>BigFixed</vt:lpstr>
      <vt:lpstr>CapAfter</vt:lpstr>
      <vt:lpstr>CapAfterB</vt:lpstr>
      <vt:lpstr>CashAt</vt:lpstr>
      <vt:lpstr>CashAtB</vt:lpstr>
      <vt:lpstr>Checks</vt:lpstr>
      <vt:lpstr>Contrib</vt:lpstr>
      <vt:lpstr>D0</vt:lpstr>
      <vt:lpstr>DecCap</vt:lpstr>
      <vt:lpstr>DecCash</vt:lpstr>
      <vt:lpstr>DecFixed</vt:lpstr>
      <vt:lpstr>DecideYear</vt:lpstr>
      <vt:lpstr>DecInvest</vt:lpstr>
      <vt:lpstr>Decision</vt:lpstr>
      <vt:lpstr>DecisionB</vt:lpstr>
      <vt:lpstr>DecNames</vt:lpstr>
      <vt:lpstr>DemDec</vt:lpstr>
      <vt:lpstr>DemDecB</vt:lpstr>
      <vt:lpstr>DiscRate</vt:lpstr>
      <vt:lpstr>Expand</vt:lpstr>
      <vt:lpstr>ExpandAt</vt:lpstr>
      <vt:lpstr>ExpCapex</vt:lpstr>
      <vt:lpstr>FixAfter</vt:lpstr>
      <vt:lpstr>FixAfterB</vt:lpstr>
      <vt:lpstr>Growth</vt:lpstr>
      <vt:lpstr>InvestAfter</vt:lpstr>
      <vt:lpstr>InvestAfterB</vt:lpstr>
      <vt:lpstr>Margin</vt:lpstr>
      <vt:lpstr>Mu</vt:lpstr>
      <vt:lpstr>NPV_A</vt:lpstr>
      <vt:lpstr>NPV_B</vt:lpstr>
      <vt:lpstr>NPV_C</vt:lpstr>
      <vt:lpstr>Results!Print_Area</vt:lpstr>
      <vt:lpstr>Inputs!Print_Titles</vt:lpstr>
      <vt:lpstr>Results!Print_Titles</vt:lpstr>
      <vt:lpstr>Strategies!Print_Titles</vt:lpstr>
      <vt:lpstr>Salvage</vt:lpstr>
      <vt:lpstr>SmallCap</vt:lpstr>
      <vt:lpstr>SmallCapex</vt:lpstr>
      <vt:lpstr>SmallFixed</vt:lpstr>
      <vt:lpstr>Vol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CF-08 Real Options: Expand or Abandon</dc:title>
  <dc:subject>ModelRisk industry example library — Corporate finance</dc:subject>
  <dc:creator>Vose Software</dc:creator>
  <cp:keywords>ModelRisk; Monte Carlo; Corporate finance</cp:keywords>
  <dc:description>Build a large plant now, or a small one with options to expand or abandon: the NPV of each and the value of flexibility.</dc:description>
  <cp:lastModifiedBy>Timour Koupeev</cp:lastModifiedBy>
  <cp:lastPrinted>2026-10-05T10:00:05Z</cp:lastPrinted>
  <dcterms:created xsi:type="dcterms:W3CDTF">2026-10-05T09:57:25Z</dcterms:created>
  <dcterms:modified xsi:type="dcterms:W3CDTF">2026-10-05T10:00:07Z</dcterms:modified>
</cp:coreProperties>
</file>