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imourKoupeev\source\repos\ModelRisk-Examples\models\Corporate finance\"/>
    </mc:Choice>
  </mc:AlternateContent>
  <xr:revisionPtr revIDLastSave="0" documentId="8_{FC1DCEE7-10F9-4920-8AB8-543E9079A4A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bout" sheetId="1" r:id="rId1"/>
    <sheet name="Inputs" sheetId="2" r:id="rId2"/>
    <sheet name="Portfolio" sheetId="3" r:id="rId3"/>
    <sheet name="Results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ig_A">Portfolio!$E$25</definedName>
    <definedName name="Big_B">Portfolio!$E$26</definedName>
    <definedName name="BigLoss">Inputs!$D$19</definedName>
    <definedName name="C_Cred_RE">Inputs!$I$36</definedName>
    <definedName name="C_Eq_Cred">Inputs!$H$34</definedName>
    <definedName name="C_Eq_Gov">Inputs!$G$34</definedName>
    <definedName name="C_Eq_RE">Inputs!$I$34</definedName>
    <definedName name="C_Gov_Cred">Inputs!$H$35</definedName>
    <definedName name="C_Gov_RE">Inputs!$I$35</definedName>
    <definedName name="Checks">Portfolio!$E$30:$E$31</definedName>
    <definedName name="CorrEigen">Portfolio!$C$9:$F$9</definedName>
    <definedName name="CorrMatrix">Inputs!$F$34:$I$37</definedName>
    <definedName name="Invested">Inputs!$D$11</definedName>
    <definedName name="Loss_A">Portfolio!$E$23</definedName>
    <definedName name="Loss_B">Portfolio!$E$24</definedName>
    <definedName name="Mu_Cred">Inputs!$F$27</definedName>
    <definedName name="Mu_Eq">Inputs!$F$25</definedName>
    <definedName name="Mu_Gov">Inputs!$F$26</definedName>
    <definedName name="Mu_RE">Inputs!$F$28</definedName>
    <definedName name="NuCop">Inputs!$D$18</definedName>
    <definedName name="NuMarg">Inputs!$D$17</definedName>
    <definedName name="_xlnm.Print_Area" localSheetId="3">Results!$A$1:$R$68</definedName>
    <definedName name="_xlnm.Print_Titles" localSheetId="1">Inputs!$1:$4</definedName>
    <definedName name="_xlnm.Print_Titles" localSheetId="3">Results!$1:$4</definedName>
    <definedName name="R_Cred">Portfolio!$I$17</definedName>
    <definedName name="R_Eq">Portfolio!$I$15</definedName>
    <definedName name="R_Gov">Portfolio!$I$16</definedName>
    <definedName name="R_RE">Portfolio!$I$18</definedName>
    <definedName name="Sd_Cred">Inputs!$G$27</definedName>
    <definedName name="Sd_Eq">Inputs!$G$25</definedName>
    <definedName name="Sd_Gov">Inputs!$G$26</definedName>
    <definedName name="Sd_RE">Inputs!$G$28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VaRLimit">Inputs!$D$12</definedName>
    <definedName name="W_Cred">Inputs!$D$27</definedName>
    <definedName name="W_Eq">Inputs!$D$25</definedName>
    <definedName name="W_Gov">Inputs!$D$26</definedName>
    <definedName name="W_RE">Inputs!$D$28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3" i="4" l="1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D22" i="4"/>
  <c r="D21" i="4"/>
  <c r="E18" i="3"/>
  <c r="D18" i="3"/>
  <c r="C18" i="3"/>
  <c r="E17" i="3"/>
  <c r="D17" i="3"/>
  <c r="C17" i="3"/>
  <c r="E16" i="3"/>
  <c r="D16" i="3"/>
  <c r="C16" i="3"/>
  <c r="E15" i="3"/>
  <c r="D15" i="3"/>
  <c r="C15" i="3"/>
  <c r="E30" i="3" s="1"/>
  <c r="H37" i="2"/>
  <c r="G37" i="2"/>
  <c r="F37" i="2"/>
  <c r="H15" i="3" s="1" a="1"/>
  <c r="H18" i="3" s="1"/>
  <c r="G36" i="2"/>
  <c r="F36" i="2"/>
  <c r="F15" i="3" s="1" a="1"/>
  <c r="F17" i="3" s="1"/>
  <c r="F35" i="2"/>
  <c r="D29" i="2"/>
  <c r="G17" i="3" a="1"/>
  <c r="C9" i="3" a="1"/>
  <c r="I18" i="3" a="1"/>
  <c r="I18" i="3" l="1"/>
  <c r="E9" i="3"/>
  <c r="D9" i="3"/>
  <c r="C9" i="3"/>
  <c r="F9" i="3"/>
  <c r="G17" i="3"/>
  <c r="F18" i="3"/>
  <c r="F15" i="3"/>
  <c r="F16" i="3"/>
  <c r="H15" i="3"/>
  <c r="H16" i="3"/>
  <c r="H17" i="3"/>
  <c r="G16" i="3" a="1"/>
  <c r="I15" i="3" a="1"/>
  <c r="I16" i="3" a="1"/>
  <c r="G18" i="3" a="1"/>
  <c r="I17" i="3" a="1"/>
  <c r="G15" i="3" a="1"/>
  <c r="G15" i="3" l="1"/>
  <c r="I17" i="3"/>
  <c r="G18" i="3"/>
  <c r="I16" i="3"/>
  <c r="I15" i="3"/>
  <c r="E24" i="3" s="1" a="1"/>
  <c r="E24" i="3" s="1"/>
  <c r="G16" i="3"/>
  <c r="E31" i="3"/>
  <c r="B7" i="4" s="1"/>
  <c r="C154" i="4" a="1"/>
  <c r="C197" i="4" a="1"/>
  <c r="C211" i="4" a="1"/>
  <c r="C148" i="4" a="1"/>
  <c r="C198" i="4" a="1"/>
  <c r="C200" i="4" a="1"/>
  <c r="C150" i="4" a="1"/>
  <c r="C160" i="4" a="1"/>
  <c r="C137" i="4" a="1"/>
  <c r="C167" i="4" a="1"/>
  <c r="E112" i="4" a="1"/>
  <c r="E122" i="4" a="1"/>
  <c r="C163" i="4" a="1"/>
  <c r="E28" i="4" a="1"/>
  <c r="E97" i="4" a="1"/>
  <c r="C194" i="4" a="1"/>
  <c r="E93" i="4" a="1"/>
  <c r="C193" i="4" a="1"/>
  <c r="C133" i="4" a="1"/>
  <c r="E94" i="4" a="1"/>
  <c r="C208" i="4" a="1"/>
  <c r="E119" i="4" a="1"/>
  <c r="C212" i="4" a="1"/>
  <c r="E15" i="4" a="1"/>
  <c r="C207" i="4" a="1"/>
  <c r="C136" i="4" a="1"/>
  <c r="E92" i="4" a="1"/>
  <c r="C204" i="4" a="1"/>
  <c r="E117" i="4" a="1"/>
  <c r="C199" i="4" a="1"/>
  <c r="C142" i="4" a="1"/>
  <c r="C189" i="4" a="1"/>
  <c r="C188" i="4" a="1"/>
  <c r="E115" i="4" a="1"/>
  <c r="C144" i="4" a="1"/>
  <c r="C226" i="4" a="1"/>
  <c r="C182" i="4" a="1"/>
  <c r="C138" i="4" a="1"/>
  <c r="E108" i="4" a="1"/>
  <c r="E86" i="4" a="1"/>
  <c r="C225" i="4" a="1"/>
  <c r="C185" i="4" a="1"/>
  <c r="E116" i="4" a="1"/>
  <c r="C184" i="4" a="1"/>
  <c r="C180" i="4" a="1"/>
  <c r="C195" i="4" a="1"/>
  <c r="C151" i="4" a="1"/>
  <c r="E113" i="4" a="1"/>
  <c r="E85" i="4" a="1"/>
  <c r="B6" i="4" a="1"/>
  <c r="C174" i="4" a="1"/>
  <c r="C231" i="4" a="1"/>
  <c r="E109" i="4" a="1"/>
  <c r="D125" i="4" a="1"/>
  <c r="C186" i="4" a="1"/>
  <c r="C229" i="4" a="1"/>
  <c r="C187" i="4" a="1"/>
  <c r="C214" i="4" a="1"/>
  <c r="C170" i="4" a="1"/>
  <c r="C169" i="4" a="1"/>
  <c r="E102" i="4" a="1"/>
  <c r="E80" i="4" a="1"/>
  <c r="C217" i="4" a="1"/>
  <c r="C173" i="4" a="1"/>
  <c r="E30" i="4" a="1"/>
  <c r="C172" i="4" a="1"/>
  <c r="C227" i="4" a="1"/>
  <c r="C183" i="4" a="1"/>
  <c r="C143" i="4" a="1"/>
  <c r="E103" i="4" a="1"/>
  <c r="E81" i="4" a="1"/>
  <c r="C156" i="4" a="1"/>
  <c r="C230" i="4" a="1"/>
  <c r="E88" i="4" a="1"/>
  <c r="C192" i="4" a="1"/>
  <c r="E87" i="4" a="1"/>
  <c r="C218" i="4" a="1"/>
  <c r="C134" i="4" a="1"/>
  <c r="E82" i="4" a="1"/>
  <c r="C177" i="4" a="1"/>
  <c r="C176" i="4" a="1"/>
  <c r="C147" i="4" a="1"/>
  <c r="C166" i="4" a="1"/>
  <c r="C149" i="4" a="1"/>
  <c r="E98" i="4" a="1"/>
  <c r="E78" i="4" a="1"/>
  <c r="C209" i="4" a="1"/>
  <c r="C161" i="4" a="1"/>
  <c r="E17" i="4" a="1"/>
  <c r="C228" i="4" a="1"/>
  <c r="C219" i="4" a="1"/>
  <c r="C179" i="4" a="1"/>
  <c r="C135" i="4" a="1"/>
  <c r="E101" i="4" a="1"/>
  <c r="E77" i="4" a="1"/>
  <c r="C140" i="4" a="1"/>
  <c r="E110" i="4" a="1"/>
  <c r="E118" i="4" a="1"/>
  <c r="C155" i="4" a="1"/>
  <c r="E104" i="4" a="1"/>
  <c r="C221" i="4" a="1"/>
  <c r="E74" i="4" a="1"/>
  <c r="E83" i="4" a="1"/>
  <c r="C206" i="4" a="1"/>
  <c r="C202" i="4" a="1"/>
  <c r="C162" i="4" a="1"/>
  <c r="C145" i="4" a="1"/>
  <c r="E96" i="4" a="1"/>
  <c r="E76" i="4" a="1"/>
  <c r="C205" i="4" a="1"/>
  <c r="C157" i="4" a="1"/>
  <c r="E13" i="4" a="1"/>
  <c r="C220" i="4" a="1"/>
  <c r="C215" i="4" a="1"/>
  <c r="C175" i="4" a="1"/>
  <c r="E123" i="4" a="1"/>
  <c r="E99" i="4" a="1"/>
  <c r="E16" i="4" a="1"/>
  <c r="E31" i="4" a="1"/>
  <c r="C222" i="4" a="1"/>
  <c r="C190" i="4" a="1"/>
  <c r="C158" i="4" a="1"/>
  <c r="C153" i="4" a="1"/>
  <c r="E106" i="4" a="1"/>
  <c r="E90" i="4" a="1"/>
  <c r="E32" i="4" a="1"/>
  <c r="C213" i="4" a="1"/>
  <c r="C181" i="4" a="1"/>
  <c r="E120" i="4" a="1"/>
  <c r="C224" i="4" a="1"/>
  <c r="C232" i="4" a="1"/>
  <c r="C168" i="4" a="1"/>
  <c r="C203" i="4" a="1"/>
  <c r="C171" i="4" a="1"/>
  <c r="C139" i="4" a="1"/>
  <c r="E111" i="4" a="1"/>
  <c r="E95" i="4" a="1"/>
  <c r="E79" i="4" a="1"/>
  <c r="E29" i="4" a="1"/>
  <c r="C152" i="4" a="1"/>
  <c r="C164" i="4" a="1"/>
  <c r="E107" i="4" a="1"/>
  <c r="E91" i="4" a="1"/>
  <c r="E75" i="4" a="1"/>
  <c r="C210" i="4" a="1"/>
  <c r="C178" i="4" a="1"/>
  <c r="C146" i="4" a="1"/>
  <c r="C141" i="4" a="1"/>
  <c r="E100" i="4" a="1"/>
  <c r="E84" i="4" a="1"/>
  <c r="C233" i="4" a="1"/>
  <c r="C201" i="4" a="1"/>
  <c r="C165" i="4" a="1"/>
  <c r="E114" i="4" a="1"/>
  <c r="C196" i="4" a="1"/>
  <c r="C216" i="4" a="1"/>
  <c r="C223" i="4" a="1"/>
  <c r="C191" i="4" a="1"/>
  <c r="C159" i="4" a="1"/>
  <c r="E121" i="4" a="1"/>
  <c r="E105" i="4" a="1"/>
  <c r="E89" i="4" a="1"/>
  <c r="E33" i="4" a="1"/>
  <c r="E14" i="4" a="1"/>
  <c r="B53" i="4" a="1"/>
  <c r="E54" i="4" l="1"/>
  <c r="D55" i="4"/>
  <c r="B53" i="4"/>
  <c r="B127" i="4" s="1"/>
  <c r="B54" i="4"/>
  <c r="B128" i="4" s="1"/>
  <c r="D53" i="4"/>
  <c r="C55" i="4"/>
  <c r="D56" i="4"/>
  <c r="E55" i="4"/>
  <c r="C53" i="4"/>
  <c r="D54" i="4"/>
  <c r="E53" i="4"/>
  <c r="B55" i="4"/>
  <c r="B129" i="4" s="1"/>
  <c r="C56" i="4"/>
  <c r="E56" i="4"/>
  <c r="C54" i="4"/>
  <c r="B56" i="4"/>
  <c r="B130" i="4" s="1"/>
  <c r="E14" i="4"/>
  <c r="E19" i="4" s="1"/>
  <c r="E33" i="4"/>
  <c r="E89" i="4"/>
  <c r="E105" i="4"/>
  <c r="E121" i="4"/>
  <c r="C159" i="4"/>
  <c r="C191" i="4"/>
  <c r="C223" i="4"/>
  <c r="C216" i="4"/>
  <c r="C196" i="4"/>
  <c r="E114" i="4"/>
  <c r="C165" i="4"/>
  <c r="C201" i="4"/>
  <c r="C233" i="4"/>
  <c r="E84" i="4"/>
  <c r="E100" i="4"/>
  <c r="C141" i="4"/>
  <c r="C146" i="4"/>
  <c r="C178" i="4"/>
  <c r="C210" i="4"/>
  <c r="E75" i="4"/>
  <c r="E91" i="4"/>
  <c r="E107" i="4"/>
  <c r="C164" i="4"/>
  <c r="C152" i="4"/>
  <c r="E29" i="4"/>
  <c r="E79" i="4"/>
  <c r="E95" i="4"/>
  <c r="E111" i="4"/>
  <c r="C139" i="4"/>
  <c r="C171" i="4"/>
  <c r="C203" i="4"/>
  <c r="C168" i="4"/>
  <c r="C232" i="4"/>
  <c r="C224" i="4"/>
  <c r="E120" i="4"/>
  <c r="C181" i="4"/>
  <c r="C213" i="4"/>
  <c r="E32" i="4"/>
  <c r="E90" i="4"/>
  <c r="E106" i="4"/>
  <c r="C153" i="4"/>
  <c r="C158" i="4"/>
  <c r="C190" i="4"/>
  <c r="C222" i="4"/>
  <c r="E31" i="4"/>
  <c r="E16" i="4"/>
  <c r="E99" i="4"/>
  <c r="E123" i="4"/>
  <c r="C175" i="4"/>
  <c r="C215" i="4"/>
  <c r="C220" i="4"/>
  <c r="E13" i="4"/>
  <c r="C157" i="4"/>
  <c r="C205" i="4"/>
  <c r="E76" i="4"/>
  <c r="E96" i="4"/>
  <c r="C145" i="4"/>
  <c r="C162" i="4"/>
  <c r="C202" i="4"/>
  <c r="C206" i="4"/>
  <c r="E83" i="4"/>
  <c r="E74" i="4"/>
  <c r="C221" i="4"/>
  <c r="E104" i="4"/>
  <c r="C155" i="4"/>
  <c r="E118" i="4"/>
  <c r="E110" i="4"/>
  <c r="C140" i="4"/>
  <c r="E77" i="4"/>
  <c r="E101" i="4"/>
  <c r="C135" i="4"/>
  <c r="C179" i="4"/>
  <c r="C219" i="4"/>
  <c r="C228" i="4"/>
  <c r="E17" i="4"/>
  <c r="C161" i="4"/>
  <c r="C209" i="4"/>
  <c r="E78" i="4"/>
  <c r="E98" i="4"/>
  <c r="C149" i="4"/>
  <c r="C166" i="4"/>
  <c r="C147" i="4"/>
  <c r="C176" i="4"/>
  <c r="C177" i="4"/>
  <c r="E82" i="4"/>
  <c r="C134" i="4"/>
  <c r="C218" i="4"/>
  <c r="E87" i="4"/>
  <c r="C192" i="4"/>
  <c r="E88" i="4"/>
  <c r="C230" i="4"/>
  <c r="C156" i="4"/>
  <c r="E81" i="4"/>
  <c r="E103" i="4"/>
  <c r="C143" i="4"/>
  <c r="C183" i="4"/>
  <c r="C227" i="4"/>
  <c r="C172" i="4"/>
  <c r="E30" i="4"/>
  <c r="C173" i="4"/>
  <c r="C217" i="4"/>
  <c r="E80" i="4"/>
  <c r="E102" i="4"/>
  <c r="C169" i="4"/>
  <c r="C170" i="4"/>
  <c r="C214" i="4"/>
  <c r="C187" i="4"/>
  <c r="C229" i="4"/>
  <c r="C186" i="4"/>
  <c r="D125" i="4"/>
  <c r="E109" i="4"/>
  <c r="C231" i="4"/>
  <c r="C174" i="4"/>
  <c r="B6" i="4"/>
  <c r="E85" i="4"/>
  <c r="E113" i="4"/>
  <c r="C151" i="4"/>
  <c r="C195" i="4"/>
  <c r="C180" i="4"/>
  <c r="C184" i="4"/>
  <c r="E116" i="4"/>
  <c r="C185" i="4"/>
  <c r="C225" i="4"/>
  <c r="E86" i="4"/>
  <c r="E108" i="4"/>
  <c r="C138" i="4"/>
  <c r="C182" i="4"/>
  <c r="C226" i="4"/>
  <c r="C144" i="4"/>
  <c r="E115" i="4"/>
  <c r="C188" i="4"/>
  <c r="C189" i="4"/>
  <c r="C142" i="4"/>
  <c r="C199" i="4"/>
  <c r="E117" i="4"/>
  <c r="C204" i="4"/>
  <c r="E92" i="4"/>
  <c r="C136" i="4"/>
  <c r="C207" i="4"/>
  <c r="E15" i="4"/>
  <c r="C212" i="4"/>
  <c r="E119" i="4"/>
  <c r="C208" i="4"/>
  <c r="E94" i="4"/>
  <c r="C133" i="4"/>
  <c r="C193" i="4"/>
  <c r="E93" i="4"/>
  <c r="C194" i="4"/>
  <c r="E97" i="4"/>
  <c r="E28" i="4"/>
  <c r="C163" i="4"/>
  <c r="E122" i="4"/>
  <c r="E112" i="4"/>
  <c r="C167" i="4"/>
  <c r="C137" i="4"/>
  <c r="C160" i="4"/>
  <c r="C150" i="4"/>
  <c r="C200" i="4"/>
  <c r="C198" i="4"/>
  <c r="C148" i="4"/>
  <c r="C211" i="4"/>
  <c r="C197" i="4"/>
  <c r="C154" i="4"/>
  <c r="E26" i="3" a="1"/>
  <c r="E26" i="3" s="1"/>
  <c r="E23" i="3" a="1"/>
  <c r="E23" i="3" s="1"/>
  <c r="E18" i="4" a="1"/>
  <c r="D104" i="4" a="1"/>
  <c r="D80" i="4" a="1"/>
  <c r="D78" i="4" a="1"/>
  <c r="D100" i="4" a="1"/>
  <c r="D117" i="4" a="1"/>
  <c r="D85" i="4" a="1"/>
  <c r="D83" i="4" a="1"/>
  <c r="D115" i="4" a="1"/>
  <c r="D15" i="4" a="1"/>
  <c r="D81" i="4" a="1"/>
  <c r="D111" i="4" a="1"/>
  <c r="D79" i="4" a="1"/>
  <c r="D13" i="4" a="1"/>
  <c r="D101" i="4" a="1"/>
  <c r="D28" i="4" a="1"/>
  <c r="D96" i="4" a="1"/>
  <c r="D99" i="4" a="1"/>
  <c r="D122" i="4" a="1"/>
  <c r="D84" i="4" a="1"/>
  <c r="D97" i="4" a="1"/>
  <c r="D114" i="4" a="1"/>
  <c r="D94" i="4" a="1"/>
  <c r="D113" i="4" a="1"/>
  <c r="D95" i="4" a="1"/>
  <c r="D106" i="4" a="1"/>
  <c r="D86" i="4" a="1"/>
  <c r="D109" i="4" a="1"/>
  <c r="D93" i="4" a="1"/>
  <c r="D76" i="4" a="1"/>
  <c r="D98" i="4" a="1"/>
  <c r="D108" i="4" a="1"/>
  <c r="D120" i="4" a="1"/>
  <c r="D33" i="4" a="1"/>
  <c r="D123" i="4" a="1"/>
  <c r="D107" i="4" a="1"/>
  <c r="D91" i="4" a="1"/>
  <c r="D112" i="4" a="1"/>
  <c r="D90" i="4" a="1"/>
  <c r="D77" i="4" a="1"/>
  <c r="D92" i="4" a="1"/>
  <c r="D29" i="4" a="1"/>
  <c r="D88" i="4" a="1"/>
  <c r="D75" i="4" a="1"/>
  <c r="D16" i="4" a="1"/>
  <c r="D121" i="4" a="1"/>
  <c r="D105" i="4" a="1"/>
  <c r="D89" i="4" a="1"/>
  <c r="D82" i="4" a="1"/>
  <c r="D118" i="4" a="1"/>
  <c r="D119" i="4" a="1"/>
  <c r="D103" i="4" a="1"/>
  <c r="D87" i="4" a="1"/>
  <c r="D74" i="4" a="1"/>
  <c r="D31" i="4" a="1"/>
  <c r="D30" i="4" a="1"/>
  <c r="D110" i="4" a="1"/>
  <c r="D116" i="4" a="1"/>
  <c r="D14" i="4" a="1"/>
  <c r="D17" i="4" a="1"/>
  <c r="D102" i="4" a="1"/>
  <c r="D32" i="4" a="1"/>
  <c r="F129" i="4" l="1"/>
  <c r="F128" i="4"/>
  <c r="G127" i="4"/>
  <c r="D32" i="4"/>
  <c r="F32" i="4" s="1"/>
  <c r="D102" i="4"/>
  <c r="D17" i="4"/>
  <c r="F17" i="4" s="1"/>
  <c r="D14" i="4"/>
  <c r="D116" i="4"/>
  <c r="D110" i="4"/>
  <c r="D30" i="4"/>
  <c r="F30" i="4" s="1"/>
  <c r="D31" i="4"/>
  <c r="F31" i="4" s="1"/>
  <c r="D74" i="4"/>
  <c r="D87" i="4"/>
  <c r="D103" i="4"/>
  <c r="D119" i="4"/>
  <c r="D118" i="4"/>
  <c r="D82" i="4"/>
  <c r="D89" i="4"/>
  <c r="D105" i="4"/>
  <c r="D121" i="4"/>
  <c r="D16" i="4"/>
  <c r="F16" i="4" s="1"/>
  <c r="D75" i="4"/>
  <c r="D88" i="4"/>
  <c r="D29" i="4"/>
  <c r="F29" i="4" s="1"/>
  <c r="D92" i="4"/>
  <c r="D77" i="4"/>
  <c r="D90" i="4"/>
  <c r="D112" i="4"/>
  <c r="D91" i="4"/>
  <c r="D107" i="4"/>
  <c r="D123" i="4"/>
  <c r="D33" i="4"/>
  <c r="F33" i="4" s="1"/>
  <c r="D120" i="4"/>
  <c r="D108" i="4"/>
  <c r="D98" i="4"/>
  <c r="D76" i="4"/>
  <c r="D93" i="4"/>
  <c r="D109" i="4"/>
  <c r="D86" i="4"/>
  <c r="D106" i="4"/>
  <c r="D95" i="4"/>
  <c r="D113" i="4"/>
  <c r="D94" i="4"/>
  <c r="D114" i="4"/>
  <c r="D97" i="4"/>
  <c r="D84" i="4"/>
  <c r="D122" i="4"/>
  <c r="D99" i="4"/>
  <c r="D96" i="4"/>
  <c r="D28" i="4"/>
  <c r="F28" i="4" s="1"/>
  <c r="D101" i="4"/>
  <c r="D13" i="4"/>
  <c r="D79" i="4"/>
  <c r="D111" i="4"/>
  <c r="D81" i="4"/>
  <c r="D15" i="4"/>
  <c r="F15" i="4" s="1"/>
  <c r="D115" i="4"/>
  <c r="D83" i="4"/>
  <c r="D85" i="4"/>
  <c r="D117" i="4"/>
  <c r="D100" i="4"/>
  <c r="D78" i="4"/>
  <c r="D80" i="4"/>
  <c r="D104" i="4"/>
  <c r="E18" i="4"/>
  <c r="C247" i="4"/>
  <c r="C260" i="4"/>
  <c r="D260" i="4" s="1"/>
  <c r="G260" i="4" s="1" a="1"/>
  <c r="G260" i="4" s="1"/>
  <c r="C243" i="4"/>
  <c r="C245" i="4"/>
  <c r="C239" i="4"/>
  <c r="C259" i="4"/>
  <c r="C237" i="4"/>
  <c r="C250" i="4"/>
  <c r="C257" i="4"/>
  <c r="C249" i="4"/>
  <c r="C251" i="4"/>
  <c r="C256" i="4"/>
  <c r="C242" i="4"/>
  <c r="C246" i="4"/>
  <c r="C248" i="4"/>
  <c r="C254" i="4"/>
  <c r="C244" i="4"/>
  <c r="C252" i="4"/>
  <c r="C238" i="4"/>
  <c r="C240" i="4"/>
  <c r="C236" i="4"/>
  <c r="C253" i="4"/>
  <c r="C255" i="4"/>
  <c r="C258" i="4"/>
  <c r="C241" i="4"/>
  <c r="G128" i="4"/>
  <c r="F130" i="4"/>
  <c r="E25" i="3" a="1"/>
  <c r="E25" i="3" s="1"/>
  <c r="G129" i="4"/>
  <c r="G130" i="4"/>
  <c r="F127" i="4"/>
  <c r="D18" i="4" a="1"/>
  <c r="D18" i="4" l="1"/>
  <c r="F18" i="4" s="1"/>
  <c r="E249" i="4"/>
  <c r="D249" i="4"/>
  <c r="G249" i="4" s="1" a="1"/>
  <c r="G249" i="4" s="1"/>
  <c r="D238" i="4"/>
  <c r="G238" i="4" s="1" a="1"/>
  <c r="G238" i="4" s="1"/>
  <c r="E238" i="4"/>
  <c r="E243" i="4"/>
  <c r="D243" i="4"/>
  <c r="G243" i="4" s="1" a="1"/>
  <c r="G243" i="4" s="1"/>
  <c r="E241" i="4"/>
  <c r="D241" i="4"/>
  <c r="G241" i="4" s="1" a="1"/>
  <c r="G241" i="4" s="1"/>
  <c r="D244" i="4"/>
  <c r="G244" i="4" s="1" a="1"/>
  <c r="G244" i="4" s="1"/>
  <c r="E244" i="4"/>
  <c r="E257" i="4"/>
  <c r="D257" i="4"/>
  <c r="G257" i="4" s="1" a="1"/>
  <c r="G257" i="4" s="1"/>
  <c r="E247" i="4"/>
  <c r="D247" i="4"/>
  <c r="G247" i="4" s="1" a="1"/>
  <c r="G247" i="4" s="1"/>
  <c r="E258" i="4"/>
  <c r="D258" i="4"/>
  <c r="G258" i="4" s="1" a="1"/>
  <c r="G258" i="4" s="1"/>
  <c r="E254" i="4"/>
  <c r="D254" i="4"/>
  <c r="G254" i="4" s="1" a="1"/>
  <c r="G254" i="4" s="1"/>
  <c r="E250" i="4"/>
  <c r="D250" i="4"/>
  <c r="G250" i="4" s="1" a="1"/>
  <c r="G250" i="4" s="1"/>
  <c r="E255" i="4"/>
  <c r="D255" i="4"/>
  <c r="G255" i="4" s="1" a="1"/>
  <c r="G255" i="4" s="1"/>
  <c r="D248" i="4"/>
  <c r="G248" i="4" s="1" a="1"/>
  <c r="G248" i="4" s="1"/>
  <c r="E248" i="4"/>
  <c r="E237" i="4"/>
  <c r="D237" i="4"/>
  <c r="G237" i="4" s="1" a="1"/>
  <c r="G237" i="4" s="1"/>
  <c r="F236" i="4" s="1"/>
  <c r="D251" i="4"/>
  <c r="G251" i="4" s="1" a="1"/>
  <c r="G251" i="4" s="1"/>
  <c r="E251" i="4"/>
  <c r="E252" i="4"/>
  <c r="D252" i="4"/>
  <c r="G252" i="4" s="1" a="1"/>
  <c r="G252" i="4" s="1"/>
  <c r="D253" i="4"/>
  <c r="G253" i="4" s="1" a="1"/>
  <c r="G253" i="4" s="1"/>
  <c r="E253" i="4"/>
  <c r="D246" i="4"/>
  <c r="G246" i="4" s="1" a="1"/>
  <c r="G246" i="4" s="1"/>
  <c r="E246" i="4"/>
  <c r="D259" i="4"/>
  <c r="G259" i="4" s="1" a="1"/>
  <c r="G259" i="4" s="1"/>
  <c r="E259" i="4"/>
  <c r="F14" i="4"/>
  <c r="D19" i="4"/>
  <c r="E236" i="4"/>
  <c r="D236" i="4"/>
  <c r="G236" i="4" s="1" a="1"/>
  <c r="G236" i="4" s="1"/>
  <c r="D242" i="4"/>
  <c r="G242" i="4" s="1" a="1"/>
  <c r="G242" i="4" s="1"/>
  <c r="F241" i="4" s="1"/>
  <c r="E242" i="4"/>
  <c r="E239" i="4"/>
  <c r="D239" i="4"/>
  <c r="G239" i="4" s="1" a="1"/>
  <c r="G239" i="4" s="1"/>
  <c r="D240" i="4"/>
  <c r="G240" i="4" s="1" a="1"/>
  <c r="G240" i="4" s="1"/>
  <c r="E240" i="4"/>
  <c r="E256" i="4"/>
  <c r="D256" i="4"/>
  <c r="G256" i="4" s="1" a="1"/>
  <c r="G256" i="4" s="1"/>
  <c r="E245" i="4"/>
  <c r="D245" i="4"/>
  <c r="G245" i="4" s="1" a="1"/>
  <c r="G245" i="4" s="1"/>
  <c r="F244" i="4" s="1"/>
  <c r="F246" i="4" l="1"/>
  <c r="F254" i="4"/>
  <c r="F258" i="4"/>
  <c r="F237" i="4"/>
  <c r="F248" i="4"/>
  <c r="F242" i="4"/>
  <c r="F239" i="4"/>
  <c r="F253" i="4"/>
  <c r="F250" i="4"/>
  <c r="F257" i="4"/>
  <c r="F251" i="4"/>
  <c r="F259" i="4"/>
  <c r="F238" i="4"/>
  <c r="F249" i="4"/>
  <c r="F256" i="4"/>
  <c r="F245" i="4"/>
  <c r="F255" i="4"/>
  <c r="F240" i="4"/>
  <c r="F243" i="4"/>
  <c r="F252" i="4"/>
  <c r="F247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<sst xmlns="http://schemas.openxmlformats.org/spreadsheetml/2006/main" count="280" uniqueCount="225">
  <si>
    <t>Portfolio Value at Risk and Expected Shortfall</t>
  </si>
  <si>
    <t>ModelRisk example  ·  Corporate finance  ·  CF-06</t>
  </si>
  <si>
    <t>How much could the reserve portfolio lose in a bad year?  Value at risk and expected shortfall, with normal and fat tails.</t>
  </si>
  <si>
    <t>Next:  Inputs  ▸</t>
  </si>
  <si>
    <t>Model card</t>
  </si>
  <si>
    <t>Industry</t>
  </si>
  <si>
    <t>Corporate finance</t>
  </si>
  <si>
    <t>Difficulty</t>
  </si>
  <si>
    <t>★★★☆☆   Two models of the same portfolio — Normal, and fat-tailed with a Student copula — compared in the tail.</t>
  </si>
  <si>
    <t>Business question</t>
  </si>
  <si>
    <t>A company invests a US$500 million reserve in equities, bonds and real estate. Its risk policy limits the one-year 95% value at risk. How much could the portfolio lose in a bad year, and how much does the answer depend on assuming normal returns, when real markets have fatter tails and crash together?</t>
  </si>
  <si>
    <t>Who it is for</t>
  </si>
  <si>
    <t>Treasurers and investment committees of corporate reserves, pension and insurance portfolios; risk managers.</t>
  </si>
  <si>
    <t>Main outputs</t>
  </si>
  <si>
    <t>One-year loss: value at risk at 95% and 99%, expected shortfall at 97.5% and 99%, and the chance of a large loss, under a Normal model and a fat-tailed model · whether each keeps the 95% VaR within the policy's limit · value at risk from 90% to 99.9% · what drives the losses.</t>
  </si>
  <si>
    <t>ModelRisk techniques</t>
  </si>
  <si>
    <t>Normal marginals joined by a multivariate Normal copula (VoseCopulaMultiNormal) against Student marginals (VoseStudent3) joined by a Student copula (VoseCopulaMultiT) with the same means, volatilities and correlations · expected shortfall with VoseSimCVARp · S-curves of the loss.</t>
  </si>
  <si>
    <t>File</t>
  </si>
  <si>
    <t>CF-06 Portfolio value at risk and expected shortfall  ·  Version 1.0  ·  October 2026  ·  built with ModelRisk 10</t>
  </si>
  <si>
    <t>The business question</t>
  </si>
  <si>
    <t>A company holds a US$500 million reserve: 40% in global equities, 30% in government bonds, 20% in corporate bonds and 10% in listed real estate. Its risk policy caps the one-year 95% value at risk. The standard way to measure it treats returns as Normal and joins them with their correlations. Market history says otherwise: extreme returns happen more often than a Normal distribution allows, and in a crisis the assets fall together. The model measures the same portfolio twice — once the standard way, and once with fat-tailed returns joined by a Student copula, which makes joint extremes more likely — with identical expected returns, volatilities and correlations, and compares their tails.</t>
  </si>
  <si>
    <t>How the model works</t>
  </si>
  <si>
    <t>Three sheets after this one, read from left to right. Each one feeds the next.</t>
  </si>
  <si>
    <t>1  Inputs</t>
  </si>
  <si>
    <t>The amount invested and the weights; the expected one-year return and volatility of each asset class; the six correlations; the degrees of freedom of the fat-tailed returns and of the Student copula.</t>
  </si>
  <si>
    <t>2  Portfolio</t>
  </si>
  <si>
    <t>The Normal model draws four correlated U values from VoseCopulaMultiNormal and turns them into Normal returns. The fat-tailed model draws them from VoseCopulaMultiT and turns them into Student returns (VoseStudent3) with the same mean and volatility. The loss is the fall in the portfolio's value.</t>
  </si>
  <si>
    <t>3  Results</t>
  </si>
  <si>
    <t>Value at risk (a percentile of the loss) and expected shortfall (the average loss beyond it, VoseSimCVARp) under both models; the chance of losing more than a threshold; the drivers of the loss.</t>
  </si>
  <si>
    <t>How to use it</t>
  </si>
  <si>
    <t>Step 1</t>
  </si>
  <si>
    <t>Enter your portfolio's weights, return and volatility assumptions and correlations.</t>
  </si>
  <si>
    <t>Step 2</t>
  </si>
  <si>
    <t>Set the tail parameters from market data: lower degrees of freedom mean fatter tails.</t>
  </si>
  <si>
    <t>Step 3</t>
  </si>
  <si>
    <t>Run a simulation from the ModelRisk ribbon (10,000 samples with a fixed seed are set).</t>
  </si>
  <si>
    <t>Step 4</t>
  </si>
  <si>
    <t>Set limits on expected shortfall as well as VaR, and test how the weights change both.</t>
  </si>
  <si>
    <t>Workbook map</t>
  </si>
  <si>
    <t>Inputs</t>
  </si>
  <si>
    <t>The amount and the VaR limit, the tails; the asset classes as a table; the correlation matrix.</t>
  </si>
  <si>
    <t>Portfolio</t>
  </si>
  <si>
    <t>The matrix's eigenvalues, this iteration's returns under both models, the loss; outputs and checks.</t>
  </si>
  <si>
    <t>Results</t>
  </si>
  <si>
    <t>VaR and expected shortfall compared against the limit, the VaR ladder, large-loss chances, drivers.</t>
  </si>
  <si>
    <t>Colour key</t>
  </si>
  <si>
    <t>Input</t>
  </si>
  <si>
    <t>An assumption you may change. Only these cells are inputs.</t>
  </si>
  <si>
    <t>Uncertain variable</t>
  </si>
  <si>
    <t>A ModelRisk distribution: a new random value is drawn at every recalculation (F9) and every simulation sample.</t>
  </si>
  <si>
    <t>Calculation</t>
  </si>
  <si>
    <t>A formula. Do not overwrite.</t>
  </si>
  <si>
    <t>Key output</t>
  </si>
  <si>
    <t>Marked with VoseOutput; its full distribution is recorded when you simulate.</t>
  </si>
  <si>
    <t>Simulation result</t>
  </si>
  <si>
    <t>A VoseSim… function: a statistic of the last simulation, filled in automatically.</t>
  </si>
  <si>
    <t>Units and conventions</t>
  </si>
  <si>
    <t>Money</t>
  </si>
  <si>
    <t>US$ million (US$m); a loss is positive.</t>
  </si>
  <si>
    <t>Value at risk</t>
  </si>
  <si>
    <t>The loss that is exceeded with the stated small probability in a year (VaR 99% = 99th percentile of the loss).</t>
  </si>
  <si>
    <t>Expected shortfall</t>
  </si>
  <si>
    <t>The average loss in the worst cases beyond the VaR (ES 97.5% = mean of the worst 2.5%).</t>
  </si>
  <si>
    <t>Horizon</t>
  </si>
  <si>
    <t>One year; no rebalancing during the year.</t>
  </si>
  <si>
    <t>Key assumptions and limitations</t>
  </si>
  <si>
    <t>Returns</t>
  </si>
  <si>
    <t>Each asset's return has the stated mean and volatility in both models; only the tails differ.</t>
  </si>
  <si>
    <t>Dependence</t>
  </si>
  <si>
    <t>The same correlation matrix in both models; the Student copula adds tail dependence.</t>
  </si>
  <si>
    <t>Data</t>
  </si>
  <si>
    <t>The portfolio and all figures are invented for this example.</t>
  </si>
  <si>
    <t>ModelRisk functions used</t>
  </si>
  <si>
    <t>VoseEigenValues</t>
  </si>
  <si>
    <t>The eigenvalues of the correlation matrix: all above 0 for a valid matrix.</t>
  </si>
  <si>
    <t>VoseCopulaMultiNormal, VoseCopulaMultiT</t>
  </si>
  <si>
    <t>Four correlated U values each iteration: Normal, and Student (tail dependence).</t>
  </si>
  <si>
    <t>VoseNormal, VoseStudent3</t>
  </si>
  <si>
    <t>Asset returns from the U values: Normal, and Student with the same mean and standard deviation.</t>
  </si>
  <si>
    <t>VoseSimCVARp</t>
  </si>
  <si>
    <t>Expected shortfall: the mean of the loss beyond a percentile.</t>
  </si>
  <si>
    <t>VoseInput, VoseOutput, VoseSimPercentile, VoseSimMean</t>
  </si>
  <si>
    <t>Drivers, outputs and the statistics on the Results sheet.</t>
  </si>
  <si>
    <t>VoseSimSensitivityMean</t>
  </si>
  <si>
    <t>The tornado chart: every VoseInput ranked by how far the mean loss moves across its range.</t>
  </si>
  <si>
    <t>Further reading</t>
  </si>
  <si>
    <t>Market risk</t>
  </si>
  <si>
    <t>McNeil, A. J., Frey, R. &amp; Embrechts, P. (2015). Quantitative Risk Management, revised edition. Princeton University Press.</t>
  </si>
  <si>
    <t>Risk analysis</t>
  </si>
  <si>
    <t>Vose, D. (2008). Risk Analysis: A Quantitative Guide, 3rd edition. Wiley — copulas.</t>
  </si>
  <si>
    <t>© 2026 Vose Software   ·   www.vosesoftware.com   ·   An illustrative example: the figures are invented for teaching and do not describe a real company, project or asset.</t>
  </si>
  <si>
    <t>INPUTS   ·   Every assumption the model uses, with its uncertainty and its basis. Change only the yellow cells.</t>
  </si>
  <si>
    <t>◂  About</t>
  </si>
  <si>
    <t>Next:  Portfolio  ▸</t>
  </si>
  <si>
    <t>How to read this sheet:  yellow cells are inputs.</t>
  </si>
  <si>
    <t>1   Portfolio</t>
  </si>
  <si>
    <t>How much is invested, and the risk policy's limit.</t>
  </si>
  <si>
    <t>Assumption</t>
  </si>
  <si>
    <t>Unit</t>
  </si>
  <si>
    <t>Value in model</t>
  </si>
  <si>
    <t>Uncertainty</t>
  </si>
  <si>
    <t>Basis / source (illustrative)</t>
  </si>
  <si>
    <t>Amount invested</t>
  </si>
  <si>
    <t>US$m</t>
  </si>
  <si>
    <t>Fixed</t>
  </si>
  <si>
    <t>Limit on the one-year 95% value at risk</t>
  </si>
  <si>
    <t>Risk policy: 10% of the reserve.</t>
  </si>
  <si>
    <t>2   Tails</t>
  </si>
  <si>
    <t>What makes the second model fat-tailed.</t>
  </si>
  <si>
    <t>Degrees of freedom of the returns</t>
  </si>
  <si>
    <t>Lower = fatter tails; 5 fits monthly equity data.</t>
  </si>
  <si>
    <t>Degrees of freedom of the Student copula</t>
  </si>
  <si>
    <t>Lower = more joint extremes.</t>
  </si>
  <si>
    <t>A large loss</t>
  </si>
  <si>
    <t>20% of the portfolio.</t>
  </si>
  <si>
    <t>3   Asset classes</t>
  </si>
  <si>
    <t>Weight, and expected return and volatility over one year — the same in both models.</t>
  </si>
  <si>
    <t>Asset class</t>
  </si>
  <si>
    <t>Weight</t>
  </si>
  <si>
    <t>Expected</t>
  </si>
  <si>
    <t>Volatility</t>
  </si>
  <si>
    <t>of the total</t>
  </si>
  <si>
    <t>return a year</t>
  </si>
  <si>
    <t>a year</t>
  </si>
  <si>
    <t>Global equities</t>
  </si>
  <si>
    <t>Government bonds</t>
  </si>
  <si>
    <t>Corporate bonds</t>
  </si>
  <si>
    <t>Listed real estate</t>
  </si>
  <si>
    <t>Total</t>
  </si>
  <si>
    <t>must total 100%</t>
  </si>
  <si>
    <t>4   Correlations</t>
  </si>
  <si>
    <t>Between the one-year returns — the same in both models. Enter the yellow cells above the diagonal; the cells below it mirror them.</t>
  </si>
  <si>
    <t>Equities</t>
  </si>
  <si>
    <t>Gov. bonds</t>
  </si>
  <si>
    <t>Corp. bonds</t>
  </si>
  <si>
    <t>Real estate</t>
  </si>
  <si>
    <t>Equities and government bonds tend to move apart.</t>
  </si>
  <si>
    <t>PORTFOLIO   ·   This iteration's returns under both models, and the portfolio's loss (US$m).</t>
  </si>
  <si>
    <t>◂  Inputs</t>
  </si>
  <si>
    <t>Next:  Results  ▸</t>
  </si>
  <si>
    <t>1   Is the correlation matrix valid?</t>
  </si>
  <si>
    <t>The eigenvalues of the matrix on the Inputs sheet: a valid correlation matrix has every one above 0.</t>
  </si>
  <si>
    <t>1</t>
  </si>
  <si>
    <t>2</t>
  </si>
  <si>
    <t>3</t>
  </si>
  <si>
    <t>4</t>
  </si>
  <si>
    <t>Eigenvalues</t>
  </si>
  <si>
    <t>VoseEigenValues; they add up to 4, the size of the matrix.</t>
  </si>
  <si>
    <t>2   This iteration</t>
  </si>
  <si>
    <t>Both models start from correlated U values; the returns have the same mean and volatility.</t>
  </si>
  <si>
    <t>U, Normal</t>
  </si>
  <si>
    <t>Return,</t>
  </si>
  <si>
    <t>U, Student</t>
  </si>
  <si>
    <t>return</t>
  </si>
  <si>
    <t>copula</t>
  </si>
  <si>
    <t>Normal model</t>
  </si>
  <si>
    <t>fat-tailed</t>
  </si>
  <si>
    <t>VoseCopulaMultiNormal and VoseCopulaMultiT: four U values each.</t>
  </si>
  <si>
    <t>Returns: VoseNormal and VoseStudent3 (same mean and volatility).</t>
  </si>
  <si>
    <t>3   Value in this iteration</t>
  </si>
  <si>
    <t>Key outputs, recorded by ModelRisk at every sample (VoseOutput). Their statistics appear on the Results sheet.</t>
  </si>
  <si>
    <t>Output</t>
  </si>
  <si>
    <t>Value</t>
  </si>
  <si>
    <t>Meaning</t>
  </si>
  <si>
    <t>Loss, Normal model</t>
  </si>
  <si>
    <t>Fall in value over the year.</t>
  </si>
  <si>
    <t>Loss, fat-tailed model</t>
  </si>
  <si>
    <t>Large loss, Normal model?  (1 = yes)</t>
  </si>
  <si>
    <t>1 / 0</t>
  </si>
  <si>
    <t>Large loss, fat-tailed model?  (1 = yes)</t>
  </si>
  <si>
    <t>4   Model checks</t>
  </si>
  <si>
    <t>Should all read OK. A CHECK means an input has been set outside the range the model is built for.</t>
  </si>
  <si>
    <t>The weights add up to 100%</t>
  </si>
  <si>
    <t>The correlation matrix is valid  (every eigenvalue above 0)</t>
  </si>
  <si>
    <t>RESULTS   ·   Filled in automatically from the last simulation. Run a simulation after changing any input.</t>
  </si>
  <si>
    <t>◂  Portfolio</t>
  </si>
  <si>
    <t>1   How much could the portfolio lose in a year?</t>
  </si>
  <si>
    <t>One-year loss — cumulative probability</t>
  </si>
  <si>
    <t>Loss over one year (US$m). Same returns, volatilities and correlations; different tails.</t>
  </si>
  <si>
    <t>Measure</t>
  </si>
  <si>
    <t>Normal</t>
  </si>
  <si>
    <t>Fat-tailed</t>
  </si>
  <si>
    <t>Difference</t>
  </si>
  <si>
    <t>model</t>
  </si>
  <si>
    <t>Mean loss  (negative = expected gain)</t>
  </si>
  <si>
    <t>Value at risk, 95%</t>
  </si>
  <si>
    <t>Value at risk, 99%</t>
  </si>
  <si>
    <t>Expected shortfall, 97.5%</t>
  </si>
  <si>
    <t>Expected shortfall, 99%</t>
  </si>
  <si>
    <t>Chance of a large loss  (Inputs sheet)</t>
  </si>
  <si>
    <t>Within the 95% VaR limit?  (Inputs sheet)</t>
  </si>
  <si>
    <t>2   Value at risk at each confidence</t>
  </si>
  <si>
    <t>The loss exceeded in only 10%, 5%, … of years (US$m): the further into the tail, the more the models part.</t>
  </si>
  <si>
    <t>Confidence</t>
  </si>
  <si>
    <t>One-year loss, fat-tailed model — distribution</t>
  </si>
  <si>
    <t>3   What drives the losses</t>
  </si>
  <si>
    <t>What drives the fat-tailed losses  (US$m)</t>
  </si>
  <si>
    <t>Lowest and highest mean loss over ten equal groups of each asset class's return (VoseSimSensitivityMean), drawn from the overall mean.</t>
  </si>
  <si>
    <t>Input (ranked by influence)</t>
  </si>
  <si>
    <t>Lowest mean</t>
  </si>
  <si>
    <t>Highest mean</t>
  </si>
  <si>
    <t>Rank</t>
  </si>
  <si>
    <t>4   How to read these results</t>
  </si>
  <si>
    <t>•  Both models give the portfolio the same expected return, volatility and correlations. They differ only in the tails: how often extreme returns happen, and whether the assets suffer them together.</t>
  </si>
  <si>
    <t>•  At 95% the two models agree — the fat-tailed model's VaR is even a little lower — and both keep it within the policy's limit. Further out they part: the fat-tailed model's 99% VaR and, above all, its expected shortfall are much larger. A limit set on 95% VaR alone passes both and does not see the difference.</t>
  </si>
  <si>
    <t>•  Expected shortfall averages the losses beyond the VaR, so it measures how bad the bad years are, not just where they start. Bank regulation moved from 99% VaR to 97.5% expected shortfall for this reason.</t>
  </si>
  <si>
    <t>•  Equities drive the losses, with real estate and corporate bonds falling alongside them; government bonds, which tend to move the other way, cushion them.</t>
  </si>
  <si>
    <t>Chart data</t>
  </si>
  <si>
    <t>Statistics of the last simulation behind the charts and the ranking above. Grouped: click + in the left margin to show them.</t>
  </si>
  <si>
    <t>Cumulative probability</t>
  </si>
  <si>
    <t>Exceedance</t>
  </si>
  <si>
    <t>Loss_A</t>
  </si>
  <si>
    <t>Loss_B</t>
  </si>
  <si>
    <t>Overall mean of Loss_B</t>
  </si>
  <si>
    <t>Ranked input (chart)</t>
  </si>
  <si>
    <t>Highest − mean</t>
  </si>
  <si>
    <t>Lowest − mean</t>
  </si>
  <si>
    <t>Percentiles: Loss_B</t>
  </si>
  <si>
    <t>Histogram: Loss_B</t>
  </si>
  <si>
    <t>Edge</t>
  </si>
  <si>
    <t>Index</t>
  </si>
  <si>
    <t>Mid-point</t>
  </si>
  <si>
    <t>Probability</t>
  </si>
  <si>
    <t>Below edge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</si>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</sst>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&quot;–&quot;_)"/>
    <numFmt numFmtId="165" formatCode="0.0%"/>
    <numFmt numFmtId="166" formatCode="0.000"/>
    <numFmt numFmtId="167" formatCode="#,##0.0_);\(#,##0.0\);&quot;–&quot;_)"/>
    <numFmt numFmtId="168" formatCode="#,##0.0_);\(#,##0.0\);&quot;–&quot;_);&quot;–&quot;"/>
    <numFmt numFmtId="169" formatCode="\+0%;\-0%;0%;@"/>
    <numFmt numFmtId="170" formatCode="0.0%;\-0.0%;0.0%;&quot;–&quot;"/>
    <numFmt numFmtId="171" formatCode="0;\-0;0;&quot;–&quot;"/>
  </numFmts>
  <fonts count="24" x14ac:knownFonts="1">
    <font>
      <sz val="11"/>
      <color theme="1"/>
      <name val="Calibri"/>
      <family val="2"/>
      <scheme val="minor"/>
    </font>
    <font>
      <sz val="10"/>
      <color rgb="FF0E4F92"/>
      <name val="Calibri"/>
    </font>
    <font>
      <sz val="10"/>
      <color rgb="FF9A3412"/>
      <name val="Calibri"/>
    </font>
    <font>
      <sz val="10"/>
      <color rgb="FF0F2A47"/>
      <name val="Calibri"/>
    </font>
    <font>
      <b/>
      <sz val="10"/>
      <color rgb="FF14532D"/>
      <name val="Calibri"/>
    </font>
    <font>
      <b/>
      <sz val="16"/>
      <color rgb="FFFFFFFF"/>
      <name val="Calibri"/>
    </font>
    <font>
      <sz val="10"/>
      <color rgb="FFD6E2F0"/>
      <name val="Calibri"/>
    </font>
    <font>
      <sz val="9"/>
      <color rgb="FFD6E2F0"/>
      <name val="Calibri"/>
    </font>
    <font>
      <u/>
      <sz val="9"/>
      <color rgb="FF0E4F92"/>
      <name val="Calibri"/>
    </font>
    <font>
      <b/>
      <sz val="20"/>
      <color rgb="FFFFFFFF"/>
      <name val="Calibri"/>
    </font>
    <font>
      <b/>
      <sz val="12"/>
      <color rgb="FF0E4F92"/>
      <name val="Calibri"/>
    </font>
    <font>
      <b/>
      <sz val="10"/>
      <color rgb="FF3F5876"/>
      <name val="Calibri"/>
    </font>
    <font>
      <b/>
      <sz val="10"/>
      <color rgb="FF0F2A47"/>
      <name val="Calibri"/>
    </font>
    <font>
      <i/>
      <sz val="9"/>
      <color rgb="FF3F5876"/>
      <name val="Calibri"/>
    </font>
    <font>
      <u/>
      <sz val="10"/>
      <color rgb="FF0E4F92"/>
      <name val="Calibri"/>
    </font>
    <font>
      <b/>
      <sz val="10"/>
      <color rgb="FF0E4F92"/>
      <name val="Calibri"/>
    </font>
    <font>
      <i/>
      <sz val="9"/>
      <color rgb="FF8AA0BA"/>
      <name val="Calibri"/>
    </font>
    <font>
      <b/>
      <sz val="9"/>
      <color rgb="FF3F5876"/>
      <name val="Calibri"/>
    </font>
    <font>
      <sz val="9"/>
      <color rgb="FF3F5876"/>
      <name val="Calibri"/>
    </font>
    <font>
      <sz val="8"/>
      <color rgb="FF3F5876"/>
      <name val="Calibri"/>
    </font>
    <font>
      <b/>
      <sz val="10"/>
      <color rgb="FF15803D"/>
      <name val="Calibri"/>
    </font>
    <font>
      <sz val="10"/>
      <color rgb="FF3F5876"/>
      <name val="Calibri"/>
    </font>
    <font>
      <sz val="9"/>
      <color rgb="FF8AA0BA"/>
      <name val="Calibri"/>
    </font>
    <font>
      <b/>
      <sz val="11"/>
      <color rgb="FF0E4F9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8EEF7"/>
        <bgColor rgb="FFE8EEF7"/>
      </patternFill>
    </fill>
    <fill>
      <patternFill patternType="solid">
        <fgColor rgb="FF0E4F92"/>
        <bgColor rgb="FF0E4F92"/>
      </patternFill>
    </fill>
    <fill>
      <patternFill patternType="solid">
        <fgColor rgb="FFEEF1F5"/>
        <bgColor rgb="FFEEF1F5"/>
      </patternFill>
    </fill>
  </fills>
  <borders count="11">
    <border>
      <left/>
      <right/>
      <top/>
      <bottom/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C6D1DF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C6D1DF"/>
      </bottom>
      <diagonal/>
    </border>
    <border>
      <left/>
      <right/>
      <top/>
      <bottom style="medium">
        <color rgb="FF0E4F92"/>
      </bottom>
      <diagonal/>
    </border>
    <border>
      <left/>
      <right/>
      <top/>
      <bottom style="thin">
        <color rgb="FFE4E9F0"/>
      </bottom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E4E9F0"/>
      </bottom>
      <diagonal/>
    </border>
    <border>
      <left/>
      <right/>
      <top/>
      <bottom style="thin">
        <color rgb="FFE4E9F0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4E9F0"/>
      </bottom>
      <diagonal/>
    </border>
    <border>
      <left/>
      <right/>
      <top style="thin">
        <color rgb="FFC6D1DF"/>
      </top>
      <bottom style="thin">
        <color rgb="FFC6D1DF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80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" fontId="1" fillId="2" borderId="7" xfId="1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0" fillId="7" borderId="2" xfId="0" applyFill="1" applyBorder="1"/>
    <xf numFmtId="0" fontId="17" fillId="7" borderId="2" xfId="0" applyFont="1" applyFill="1" applyBorder="1" applyAlignmen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9" fillId="7" borderId="4" xfId="0" applyFont="1" applyFill="1" applyBorder="1" applyAlignment="1">
      <alignment horizontal="right" vertical="center"/>
    </xf>
    <xf numFmtId="9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9" fontId="3" fillId="0" borderId="8" xfId="3" applyNumberFormat="1" applyBorder="1">
      <alignment horizontal="right" vertical="center"/>
    </xf>
    <xf numFmtId="0" fontId="17" fillId="7" borderId="4" xfId="0" applyFont="1" applyFill="1" applyBorder="1" applyAlignment="1">
      <alignment horizontal="right" vertical="center"/>
    </xf>
    <xf numFmtId="2" fontId="3" fillId="0" borderId="8" xfId="3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7" fontId="4" fillId="4" borderId="9" xfId="4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0" fontId="1" fillId="5" borderId="7" xfId="5" applyBorder="1">
      <alignment horizontal="right" vertical="center"/>
    </xf>
    <xf numFmtId="0" fontId="21" fillId="0" borderId="6" xfId="0" applyFont="1" applyBorder="1" applyAlignment="1">
      <alignment horizontal="left" vertical="center" indent="1"/>
    </xf>
    <xf numFmtId="164" fontId="3" fillId="0" borderId="8" xfId="3" applyNumberFormat="1" applyBorder="1">
      <alignment horizontal="right" vertical="center"/>
    </xf>
    <xf numFmtId="9" fontId="3" fillId="0" borderId="6" xfId="0" applyNumberFormat="1" applyFont="1" applyBorder="1" applyAlignment="1">
      <alignment horizontal="left" vertical="center" indent="1"/>
    </xf>
    <xf numFmtId="165" fontId="3" fillId="0" borderId="6" xfId="0" applyNumberFormat="1" applyFont="1" applyBorder="1" applyAlignment="1">
      <alignment horizontal="left" vertical="center" indent="1"/>
    </xf>
    <xf numFmtId="0" fontId="17" fillId="7" borderId="4" xfId="0" applyFont="1" applyFill="1" applyBorder="1" applyAlignment="1">
      <alignment horizontal="center" vertical="center" wrapText="1"/>
    </xf>
    <xf numFmtId="171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8" fontId="1" fillId="5" borderId="1" xfId="5" applyNumberFormat="1">
      <alignment horizontal="right" vertical="center"/>
    </xf>
    <xf numFmtId="0" fontId="21" fillId="0" borderId="0" xfId="0" applyFont="1" applyAlignment="1">
      <alignment horizontal="left" vertical="center" indent="1"/>
    </xf>
    <xf numFmtId="167" fontId="3" fillId="0" borderId="2" xfId="3" applyNumberFormat="1">
      <alignment horizontal="right" vertical="center"/>
    </xf>
    <xf numFmtId="165" fontId="3" fillId="0" borderId="2" xfId="3" applyNumberFormat="1">
      <alignment horizontal="right" vertical="center"/>
    </xf>
    <xf numFmtId="0" fontId="22" fillId="0" borderId="0" xfId="0" applyFont="1"/>
    <xf numFmtId="1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Vose Calculation" xfId="3" xr:uid="{00000000-0005-0000-0000-000003000000}"/>
    <cellStyle name="Vose Input" xfId="1" xr:uid="{00000000-0005-0000-0000-000001000000}"/>
    <cellStyle name="Vose Output" xfId="4" xr:uid="{00000000-0005-0000-0000-000004000000}"/>
    <cellStyle name="Vose Sim Result" xfId="5" xr:uid="{00000000-0005-0000-0000-000005000000}"/>
    <cellStyle name="Vose Uncertain" xfId="2" xr:uid="{00000000-0005-0000-0000-000002000000}"/>
  </cellStyles>
  <dxfs count="11">
    <dxf>
      <font>
        <color rgb="FF8AA0BA"/>
      </font>
    </dxf>
    <dxf>
      <font>
        <color rgb="FFB91C1C"/>
      </font>
    </dxf>
    <dxf>
      <font>
        <color rgb="FF15803D"/>
      </font>
    </dxf>
    <dxf>
      <font>
        <color rgb="FF8AA0BA"/>
      </font>
    </dxf>
    <dxf>
      <font>
        <color rgb="FFB91C1C"/>
      </font>
    </dxf>
    <dxf>
      <font>
        <color rgb="FF15803D"/>
      </font>
    </dxf>
    <dxf>
      <font>
        <color rgb="FF8AA0BA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Normal model</c:v>
          </c:tx>
          <c:spPr>
            <a:ln w="25400">
              <a:solidFill>
                <a:srgbClr val="0E4F92"/>
              </a:solidFill>
              <a:prstDash val="solid"/>
            </a:ln>
          </c:spPr>
          <c:marker>
            <c:symbol val="none"/>
          </c:marker>
          <c:xVal>
            <c:numRef>
              <c:f>Results!$D$74:$D$123</c:f>
              <c:numCache>
                <c:formatCode>#,##0.00</c:formatCode>
                <c:ptCount val="50"/>
                <c:pt idx="0">
                  <c:v>-130.53499165065963</c:v>
                </c:pt>
                <c:pt idx="1">
                  <c:v>-109.93654959082404</c:v>
                </c:pt>
                <c:pt idx="2">
                  <c:v>-99.353853227756616</c:v>
                </c:pt>
                <c:pt idx="3">
                  <c:v>-92.13801738205099</c:v>
                </c:pt>
                <c:pt idx="4">
                  <c:v>-86.550878428745932</c:v>
                </c:pt>
                <c:pt idx="5">
                  <c:v>-81.81479134596448</c:v>
                </c:pt>
                <c:pt idx="6">
                  <c:v>-76.877471234903851</c:v>
                </c:pt>
                <c:pt idx="7">
                  <c:v>-73.102397957030618</c:v>
                </c:pt>
                <c:pt idx="8">
                  <c:v>-69.207681643918917</c:v>
                </c:pt>
                <c:pt idx="9">
                  <c:v>-66.066139385025409</c:v>
                </c:pt>
                <c:pt idx="10">
                  <c:v>-62.793184482408279</c:v>
                </c:pt>
                <c:pt idx="11">
                  <c:v>-60.016305487925976</c:v>
                </c:pt>
                <c:pt idx="12">
                  <c:v>-57.240681844619743</c:v>
                </c:pt>
                <c:pt idx="13">
                  <c:v>-54.444406446595494</c:v>
                </c:pt>
                <c:pt idx="14">
                  <c:v>-51.975772545562954</c:v>
                </c:pt>
                <c:pt idx="15">
                  <c:v>-49.435419829813689</c:v>
                </c:pt>
                <c:pt idx="16">
                  <c:v>-47.072390872509018</c:v>
                </c:pt>
                <c:pt idx="17">
                  <c:v>-44.733913667212683</c:v>
                </c:pt>
                <c:pt idx="18">
                  <c:v>-42.192997952010828</c:v>
                </c:pt>
                <c:pt idx="19">
                  <c:v>-39.682514107114365</c:v>
                </c:pt>
                <c:pt idx="20">
                  <c:v>-37.541703527151618</c:v>
                </c:pt>
                <c:pt idx="21">
                  <c:v>-35.414707412286774</c:v>
                </c:pt>
                <c:pt idx="22">
                  <c:v>-33.012524230925656</c:v>
                </c:pt>
                <c:pt idx="23">
                  <c:v>-30.825249710026981</c:v>
                </c:pt>
                <c:pt idx="24">
                  <c:v>-28.778375769755563</c:v>
                </c:pt>
                <c:pt idx="25">
                  <c:v>-26.970673251478022</c:v>
                </c:pt>
                <c:pt idx="26">
                  <c:v>-24.797486606890121</c:v>
                </c:pt>
                <c:pt idx="27">
                  <c:v>-22.765242035080576</c:v>
                </c:pt>
                <c:pt idx="28">
                  <c:v>-20.301354135441549</c:v>
                </c:pt>
                <c:pt idx="29">
                  <c:v>-17.794644571049879</c:v>
                </c:pt>
                <c:pt idx="30">
                  <c:v>-15.559243849585121</c:v>
                </c:pt>
                <c:pt idx="31">
                  <c:v>-12.956400941114802</c:v>
                </c:pt>
                <c:pt idx="32">
                  <c:v>-10.555161767714742</c:v>
                </c:pt>
                <c:pt idx="33">
                  <c:v>-7.9912575527328435</c:v>
                </c:pt>
                <c:pt idx="34">
                  <c:v>-5.1807942532671039</c:v>
                </c:pt>
                <c:pt idx="35">
                  <c:v>-2.179055446617808</c:v>
                </c:pt>
                <c:pt idx="36">
                  <c:v>0.17271919548893136</c:v>
                </c:pt>
                <c:pt idx="37">
                  <c:v>2.9282263595065974</c:v>
                </c:pt>
                <c:pt idx="38">
                  <c:v>5.7953983802808287</c:v>
                </c:pt>
                <c:pt idx="39">
                  <c:v>8.7892772249790845</c:v>
                </c:pt>
                <c:pt idx="40">
                  <c:v>11.922174913234171</c:v>
                </c:pt>
                <c:pt idx="41">
                  <c:v>15.228397378399629</c:v>
                </c:pt>
                <c:pt idx="42">
                  <c:v>19.021934623264396</c:v>
                </c:pt>
                <c:pt idx="43">
                  <c:v>23.091808113550037</c:v>
                </c:pt>
                <c:pt idx="44">
                  <c:v>27.136212716928178</c:v>
                </c:pt>
                <c:pt idx="45">
                  <c:v>32.08929802659064</c:v>
                </c:pt>
                <c:pt idx="46">
                  <c:v>38.051444444337974</c:v>
                </c:pt>
                <c:pt idx="47">
                  <c:v>45.7547827082645</c:v>
                </c:pt>
                <c:pt idx="48">
                  <c:v>56.125603870915732</c:v>
                </c:pt>
                <c:pt idx="49">
                  <c:v>79.034027449994525</c:v>
                </c:pt>
              </c:numCache>
            </c:numRef>
          </c:xVal>
          <c:yVal>
            <c:numRef>
              <c:f>Results!$B$74:$B$123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DB8-4026-93FC-E8CFDB94CAB9}"/>
            </c:ext>
          </c:extLst>
        </c:ser>
        <c:ser>
          <c:idx val="1"/>
          <c:order val="1"/>
          <c:tx>
            <c:v>Fat-tailed model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Results!$E$74:$E$123</c:f>
              <c:numCache>
                <c:formatCode>#,##0.00</c:formatCode>
                <c:ptCount val="50"/>
                <c:pt idx="0">
                  <c:v>-144.18261363283011</c:v>
                </c:pt>
                <c:pt idx="1">
                  <c:v>-111.35904712822982</c:v>
                </c:pt>
                <c:pt idx="2">
                  <c:v>-98.575211645705423</c:v>
                </c:pt>
                <c:pt idx="3">
                  <c:v>-89.976863950130706</c:v>
                </c:pt>
                <c:pt idx="4">
                  <c:v>-81.528681365314284</c:v>
                </c:pt>
                <c:pt idx="5">
                  <c:v>-75.165096462262966</c:v>
                </c:pt>
                <c:pt idx="6">
                  <c:v>-70.675523546692375</c:v>
                </c:pt>
                <c:pt idx="7">
                  <c:v>-66.51220805888677</c:v>
                </c:pt>
                <c:pt idx="8">
                  <c:v>-62.633013619991395</c:v>
                </c:pt>
                <c:pt idx="9">
                  <c:v>-59.488110205676897</c:v>
                </c:pt>
                <c:pt idx="10">
                  <c:v>-56.737264124451549</c:v>
                </c:pt>
                <c:pt idx="11">
                  <c:v>-54.231783765267529</c:v>
                </c:pt>
                <c:pt idx="12">
                  <c:v>-51.69906282865189</c:v>
                </c:pt>
                <c:pt idx="13">
                  <c:v>-49.279001553660578</c:v>
                </c:pt>
                <c:pt idx="14">
                  <c:v>-47.376276090324986</c:v>
                </c:pt>
                <c:pt idx="15">
                  <c:v>-45.166358678138153</c:v>
                </c:pt>
                <c:pt idx="16">
                  <c:v>-42.995137856702875</c:v>
                </c:pt>
                <c:pt idx="17">
                  <c:v>-40.893755251785358</c:v>
                </c:pt>
                <c:pt idx="18">
                  <c:v>-38.858327951875907</c:v>
                </c:pt>
                <c:pt idx="19">
                  <c:v>-36.789174865234862</c:v>
                </c:pt>
                <c:pt idx="20">
                  <c:v>-34.935860226851247</c:v>
                </c:pt>
                <c:pt idx="21">
                  <c:v>-33.080740132075391</c:v>
                </c:pt>
                <c:pt idx="22">
                  <c:v>-31.240354358753773</c:v>
                </c:pt>
                <c:pt idx="23">
                  <c:v>-29.486494074582065</c:v>
                </c:pt>
                <c:pt idx="24">
                  <c:v>-27.727103826415544</c:v>
                </c:pt>
                <c:pt idx="25">
                  <c:v>-26.021618290744065</c:v>
                </c:pt>
                <c:pt idx="26">
                  <c:v>-24.20985563771244</c:v>
                </c:pt>
                <c:pt idx="27">
                  <c:v>-22.627847002566579</c:v>
                </c:pt>
                <c:pt idx="28">
                  <c:v>-20.748851656918003</c:v>
                </c:pt>
                <c:pt idx="29">
                  <c:v>-18.788199177973961</c:v>
                </c:pt>
                <c:pt idx="30">
                  <c:v>-16.623277977129835</c:v>
                </c:pt>
                <c:pt idx="31">
                  <c:v>-14.756204980720291</c:v>
                </c:pt>
                <c:pt idx="32">
                  <c:v>-12.829336828970821</c:v>
                </c:pt>
                <c:pt idx="33">
                  <c:v>-10.747345445727031</c:v>
                </c:pt>
                <c:pt idx="34">
                  <c:v>-8.7677856403374825</c:v>
                </c:pt>
                <c:pt idx="35">
                  <c:v>-6.5661292490144296</c:v>
                </c:pt>
                <c:pt idx="36">
                  <c:v>-4.4048813783977359</c:v>
                </c:pt>
                <c:pt idx="37">
                  <c:v>-1.9916278928157685</c:v>
                </c:pt>
                <c:pt idx="38">
                  <c:v>0.38447653882809707</c:v>
                </c:pt>
                <c:pt idx="39">
                  <c:v>2.848902206853571</c:v>
                </c:pt>
                <c:pt idx="40">
                  <c:v>5.9304080287679986</c:v>
                </c:pt>
                <c:pt idx="41">
                  <c:v>9.1552664570602573</c:v>
                </c:pt>
                <c:pt idx="42">
                  <c:v>12.637939615293911</c:v>
                </c:pt>
                <c:pt idx="43">
                  <c:v>16.675881695906828</c:v>
                </c:pt>
                <c:pt idx="44">
                  <c:v>20.815948126738522</c:v>
                </c:pt>
                <c:pt idx="45">
                  <c:v>26.450919697124366</c:v>
                </c:pt>
                <c:pt idx="46">
                  <c:v>32.954392802454656</c:v>
                </c:pt>
                <c:pt idx="47">
                  <c:v>42.122784302836493</c:v>
                </c:pt>
                <c:pt idx="48">
                  <c:v>56.552020056547576</c:v>
                </c:pt>
                <c:pt idx="49">
                  <c:v>88.645579816440687</c:v>
                </c:pt>
              </c:numCache>
            </c:numRef>
          </c:xVal>
          <c:yVal>
            <c:numRef>
              <c:f>Results!$B$74:$B$123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DB8-4026-93FC-E8CFDB94C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Loss (US$m)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Cumulative probability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Fat-tailed model</c:v>
          </c:tx>
          <c:spPr>
            <a:solidFill>
              <a:srgbClr val="0E4F92"/>
            </a:solidFill>
            <a:ln>
              <a:noFill/>
              <a:prstDash val="solid"/>
            </a:ln>
          </c:spPr>
          <c:invertIfNegative val="1"/>
          <c:cat>
            <c:numRef>
              <c:f>Results!$E$236:$E$259</c:f>
              <c:numCache>
                <c:formatCode>#,##0.00</c:formatCode>
                <c:ptCount val="24"/>
                <c:pt idx="0">
                  <c:v>-159.90071551199139</c:v>
                </c:pt>
                <c:pt idx="1">
                  <c:v>-148.40502200275512</c:v>
                </c:pt>
                <c:pt idx="2">
                  <c:v>-136.9093284935189</c:v>
                </c:pt>
                <c:pt idx="3">
                  <c:v>-125.41363498428264</c:v>
                </c:pt>
                <c:pt idx="4">
                  <c:v>-113.91794147504639</c:v>
                </c:pt>
                <c:pt idx="5">
                  <c:v>-102.42224796581016</c:v>
                </c:pt>
                <c:pt idx="6">
                  <c:v>-90.926554456573911</c:v>
                </c:pt>
                <c:pt idx="7">
                  <c:v>-79.430860947337663</c:v>
                </c:pt>
                <c:pt idx="8">
                  <c:v>-67.935167438101416</c:v>
                </c:pt>
                <c:pt idx="9">
                  <c:v>-56.439473928865176</c:v>
                </c:pt>
                <c:pt idx="10">
                  <c:v>-44.943780419628929</c:v>
                </c:pt>
                <c:pt idx="11">
                  <c:v>-33.448086910392689</c:v>
                </c:pt>
                <c:pt idx="12">
                  <c:v>-21.952393401156442</c:v>
                </c:pt>
                <c:pt idx="13">
                  <c:v>-10.456699891920195</c:v>
                </c:pt>
                <c:pt idx="14">
                  <c:v>1.0389936173160521</c:v>
                </c:pt>
                <c:pt idx="15">
                  <c:v>12.534687126552299</c:v>
                </c:pt>
                <c:pt idx="16">
                  <c:v>24.030380635788532</c:v>
                </c:pt>
                <c:pt idx="17">
                  <c:v>35.526074145024765</c:v>
                </c:pt>
                <c:pt idx="18">
                  <c:v>47.021767654261026</c:v>
                </c:pt>
                <c:pt idx="19">
                  <c:v>58.517461163497288</c:v>
                </c:pt>
                <c:pt idx="20">
                  <c:v>70.013154672733521</c:v>
                </c:pt>
                <c:pt idx="21">
                  <c:v>81.508848181969753</c:v>
                </c:pt>
                <c:pt idx="22">
                  <c:v>93.004541691205986</c:v>
                </c:pt>
                <c:pt idx="23">
                  <c:v>104.50023520044223</c:v>
                </c:pt>
              </c:numCache>
            </c:numRef>
          </c:cat>
          <c:val>
            <c:numRef>
              <c:f>Results!$F$236:$F$259</c:f>
              <c:numCache>
                <c:formatCode>0.0%</c:formatCode>
                <c:ptCount val="24"/>
                <c:pt idx="0">
                  <c:v>2.6776579282283188E-3</c:v>
                </c:pt>
                <c:pt idx="1">
                  <c:v>3.0025748671434907E-3</c:v>
                </c:pt>
                <c:pt idx="2">
                  <c:v>5.1262298162888815E-3</c:v>
                </c:pt>
                <c:pt idx="3">
                  <c:v>6.2050006948533298E-3</c:v>
                </c:pt>
                <c:pt idx="4">
                  <c:v>1.2416619209179022E-2</c:v>
                </c:pt>
                <c:pt idx="5">
                  <c:v>1.9773242429984919E-2</c:v>
                </c:pt>
                <c:pt idx="6">
                  <c:v>2.5953621788268169E-2</c:v>
                </c:pt>
                <c:pt idx="7">
                  <c:v>3.6618778551377171E-2</c:v>
                </c:pt>
                <c:pt idx="8">
                  <c:v>5.5788638325023857E-2</c:v>
                </c:pt>
                <c:pt idx="9">
                  <c:v>8.582959606013485E-2</c:v>
                </c:pt>
                <c:pt idx="10">
                  <c:v>0.10844464011533894</c:v>
                </c:pt>
                <c:pt idx="11">
                  <c:v>0.12348156208975541</c:v>
                </c:pt>
                <c:pt idx="12">
                  <c:v>0.12391199916146417</c:v>
                </c:pt>
                <c:pt idx="13">
                  <c:v>0.11286536102729616</c:v>
                </c:pt>
                <c:pt idx="14">
                  <c:v>8.803617593773605E-2</c:v>
                </c:pt>
                <c:pt idx="15">
                  <c:v>6.2980511508598291E-2</c:v>
                </c:pt>
                <c:pt idx="16">
                  <c:v>4.2856691955137638E-2</c:v>
                </c:pt>
                <c:pt idx="17">
                  <c:v>2.7498721915933833E-2</c:v>
                </c:pt>
                <c:pt idx="18">
                  <c:v>1.6749550631892318E-2</c:v>
                </c:pt>
                <c:pt idx="19">
                  <c:v>1.1614683871132736E-2</c:v>
                </c:pt>
                <c:pt idx="20">
                  <c:v>6.9746408077905331E-3</c:v>
                </c:pt>
                <c:pt idx="21">
                  <c:v>5.5258767985530977E-3</c:v>
                </c:pt>
                <c:pt idx="22">
                  <c:v>3.0068925632396049E-3</c:v>
                </c:pt>
                <c:pt idx="23">
                  <c:v>2.6607319456491973E-3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B38-442C-A9C1-39E30D232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Loss (US$m)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Probability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Highest group mean</c:v>
          </c:tx>
          <c:spPr>
            <a:solidFill>
              <a:srgbClr val="0E4F92"/>
            </a:solidFill>
            <a:ln>
              <a:noFill/>
              <a:prstDash val="solid"/>
            </a:ln>
          </c:spPr>
          <c:invertIfNegative val="0"/>
          <c:cat>
            <c:strRef>
              <c:f>Results!$B$127:$B$130</c:f>
              <c:strCache>
                <c:ptCount val="4"/>
                <c:pt idx="0">
                  <c:v>Global equities return</c:v>
                </c:pt>
                <c:pt idx="1">
                  <c:v>Corporate bonds return</c:v>
                </c:pt>
                <c:pt idx="2">
                  <c:v>Listed real estate return</c:v>
                </c:pt>
                <c:pt idx="3">
                  <c:v>Government bonds return</c:v>
                </c:pt>
              </c:strCache>
            </c:strRef>
          </c:cat>
          <c:val>
            <c:numRef>
              <c:f>Results!$F$127:$F$130</c:f>
              <c:numCache>
                <c:formatCode>#,##0.0_);\(#,##0.0\);"–"_)</c:formatCode>
                <c:ptCount val="4"/>
                <c:pt idx="0">
                  <c:v>73.403698552990377</c:v>
                </c:pt>
                <c:pt idx="1">
                  <c:v>63.041146663937852</c:v>
                </c:pt>
                <c:pt idx="2">
                  <c:v>60.5672329615997</c:v>
                </c:pt>
                <c:pt idx="3">
                  <c:v>10.337894616189438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1-4611-9AC5-541148C17E08}"/>
            </c:ext>
          </c:extLst>
        </c:ser>
        <c:ser>
          <c:idx val="1"/>
          <c:order val="1"/>
          <c:tx>
            <c:v>Lowest group mean</c:v>
          </c:tx>
          <c:spPr>
            <a:solidFill>
              <a:srgbClr val="B91C1C"/>
            </a:solidFill>
            <a:ln>
              <a:noFill/>
              <a:prstDash val="solid"/>
            </a:ln>
          </c:spPr>
          <c:invertIfNegative val="0"/>
          <c:cat>
            <c:strRef>
              <c:f>Results!$B$127:$B$130</c:f>
              <c:strCache>
                <c:ptCount val="4"/>
                <c:pt idx="0">
                  <c:v>Global equities return</c:v>
                </c:pt>
                <c:pt idx="1">
                  <c:v>Corporate bonds return</c:v>
                </c:pt>
                <c:pt idx="2">
                  <c:v>Listed real estate return</c:v>
                </c:pt>
                <c:pt idx="3">
                  <c:v>Government bonds return</c:v>
                </c:pt>
              </c:strCache>
            </c:strRef>
          </c:cat>
          <c:val>
            <c:numRef>
              <c:f>Results!$G$127:$G$130</c:f>
              <c:numCache>
                <c:formatCode>#,##0.0_);\(#,##0.0\);"–"_)</c:formatCode>
                <c:ptCount val="4"/>
                <c:pt idx="0">
                  <c:v>-74.637136520144978</c:v>
                </c:pt>
                <c:pt idx="1">
                  <c:v>-64.071062941201632</c:v>
                </c:pt>
                <c:pt idx="2">
                  <c:v>-64.364444747908891</c:v>
                </c:pt>
                <c:pt idx="3">
                  <c:v>-12.048848964817335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C1-4611-9AC5-541148C17E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35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50</xdr:row>
      <xdr:rowOff>0</xdr:rowOff>
    </xdr:from>
    <xdr:ext cx="6263999" cy="216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F92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75" t="s">
        <v>20</v>
      </c>
      <c r="C16" s="76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ht="12" customHeight="1" x14ac:dyDescent="0.45"/>
    <row r="61" spans="2:3" ht="22.05" customHeight="1" x14ac:dyDescent="0.5">
      <c r="B61" s="7" t="s">
        <v>72</v>
      </c>
      <c r="C61" s="8"/>
    </row>
    <row r="62" spans="2:3" x14ac:dyDescent="0.45">
      <c r="B62" s="20" t="s">
        <v>73</v>
      </c>
      <c r="C62" s="10" t="s">
        <v>74</v>
      </c>
    </row>
    <row r="63" spans="2:3" ht="26.25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x14ac:dyDescent="0.45">
      <c r="B65" s="20" t="s">
        <v>79</v>
      </c>
      <c r="C65" s="10" t="s">
        <v>80</v>
      </c>
    </row>
    <row r="66" spans="2:3" ht="39.4" x14ac:dyDescent="0.45">
      <c r="B66" s="20" t="s">
        <v>81</v>
      </c>
      <c r="C66" s="10" t="s">
        <v>82</v>
      </c>
    </row>
    <row r="67" spans="2:3" x14ac:dyDescent="0.45">
      <c r="B67" s="20" t="s">
        <v>83</v>
      </c>
      <c r="C67" s="10" t="s">
        <v>84</v>
      </c>
    </row>
    <row r="68" spans="2:3" ht="12" customHeight="1" x14ac:dyDescent="0.45"/>
    <row r="69" spans="2:3" ht="22.05" customHeight="1" x14ac:dyDescent="0.5">
      <c r="B69" s="7" t="s">
        <v>85</v>
      </c>
      <c r="C69" s="8"/>
    </row>
    <row r="70" spans="2:3" x14ac:dyDescent="0.45">
      <c r="B70" s="9" t="s">
        <v>86</v>
      </c>
      <c r="C70" s="10" t="s">
        <v>87</v>
      </c>
    </row>
    <row r="71" spans="2:3" x14ac:dyDescent="0.45">
      <c r="B71" s="9" t="s">
        <v>88</v>
      </c>
      <c r="C71" s="10" t="s">
        <v>89</v>
      </c>
    </row>
    <row r="72" spans="2:3" ht="16.05" customHeight="1" x14ac:dyDescent="0.45"/>
    <row r="73" spans="2:3" x14ac:dyDescent="0.45">
      <c r="B73" s="77" t="s">
        <v>90</v>
      </c>
      <c r="C73" s="76"/>
    </row>
  </sheetData>
  <mergeCells count="2">
    <mergeCell ref="B16:C16"/>
    <mergeCell ref="B73:C73"/>
  </mergeCells>
  <hyperlinks>
    <hyperlink ref="D4" location="'Inputs'!A1" display="Next:  Inputs  ▸" xr:uid="{00000000-0004-0000-0000-000000000000}"/>
    <hyperlink ref="B39" location="'Inputs'!A1" display="Inputs" xr:uid="{00000000-0004-0000-0000-000001000000}"/>
    <hyperlink ref="B40" location="'Portfolio'!A1" display="Portfolio" xr:uid="{00000000-0004-0000-0000-000002000000}"/>
    <hyperlink ref="B41" location="'Results'!A1" display="Results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8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92</v>
      </c>
      <c r="C4" s="5"/>
      <c r="D4" s="5"/>
      <c r="E4" s="5"/>
      <c r="F4" s="5"/>
      <c r="G4" s="5"/>
      <c r="H4" s="5"/>
      <c r="I4" s="5"/>
      <c r="J4" s="6" t="s">
        <v>93</v>
      </c>
    </row>
    <row r="5" spans="1:10" ht="8" customHeight="1" x14ac:dyDescent="0.45"/>
    <row r="6" spans="1:10" ht="20" customHeight="1" x14ac:dyDescent="0.45">
      <c r="B6" s="78" t="s">
        <v>94</v>
      </c>
      <c r="C6" s="76"/>
      <c r="D6" s="76"/>
      <c r="E6" s="76"/>
      <c r="F6" s="76"/>
      <c r="G6" s="76"/>
      <c r="H6" s="76"/>
      <c r="I6" s="76"/>
      <c r="J6" s="76"/>
    </row>
    <row r="7" spans="1:10" ht="6" customHeight="1" x14ac:dyDescent="0.45"/>
    <row r="8" spans="1:10" ht="22.05" customHeight="1" x14ac:dyDescent="0.5">
      <c r="B8" s="7" t="s">
        <v>95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96</v>
      </c>
    </row>
    <row r="10" spans="1:10" ht="18" customHeight="1" x14ac:dyDescent="0.45">
      <c r="B10" s="23" t="s">
        <v>97</v>
      </c>
      <c r="C10" s="23" t="s">
        <v>98</v>
      </c>
      <c r="D10" s="24" t="s">
        <v>99</v>
      </c>
      <c r="E10" s="23" t="s">
        <v>100</v>
      </c>
      <c r="F10" s="5"/>
      <c r="G10" s="5"/>
      <c r="H10" s="5"/>
      <c r="I10" s="5"/>
      <c r="J10" s="23" t="s">
        <v>101</v>
      </c>
    </row>
    <row r="11" spans="1:10" x14ac:dyDescent="0.45">
      <c r="B11" s="25" t="s">
        <v>102</v>
      </c>
      <c r="C11" s="26" t="s">
        <v>103</v>
      </c>
      <c r="D11" s="27">
        <v>500</v>
      </c>
      <c r="E11" s="26" t="s">
        <v>104</v>
      </c>
      <c r="F11" s="28"/>
      <c r="G11" s="28"/>
      <c r="H11" s="28"/>
      <c r="I11" s="28"/>
      <c r="J11" s="29"/>
    </row>
    <row r="12" spans="1:10" x14ac:dyDescent="0.45">
      <c r="B12" s="25" t="s">
        <v>105</v>
      </c>
      <c r="C12" s="26" t="s">
        <v>103</v>
      </c>
      <c r="D12" s="27">
        <v>50</v>
      </c>
      <c r="E12" s="26" t="s">
        <v>104</v>
      </c>
      <c r="F12" s="28"/>
      <c r="G12" s="28"/>
      <c r="H12" s="28"/>
      <c r="I12" s="28"/>
      <c r="J12" s="29" t="s">
        <v>106</v>
      </c>
    </row>
    <row r="13" spans="1:10" ht="8" customHeight="1" x14ac:dyDescent="0.45"/>
    <row r="14" spans="1:10" ht="22.05" customHeight="1" x14ac:dyDescent="0.5">
      <c r="B14" s="7" t="s">
        <v>107</v>
      </c>
      <c r="C14" s="8"/>
      <c r="D14" s="8"/>
      <c r="E14" s="8"/>
      <c r="F14" s="8"/>
      <c r="G14" s="8"/>
      <c r="H14" s="8"/>
      <c r="I14" s="8"/>
      <c r="J14" s="8"/>
    </row>
    <row r="15" spans="1:10" ht="18" customHeight="1" x14ac:dyDescent="0.45">
      <c r="B15" s="13" t="s">
        <v>108</v>
      </c>
    </row>
    <row r="16" spans="1:10" ht="18" customHeight="1" x14ac:dyDescent="0.45">
      <c r="B16" s="23" t="s">
        <v>97</v>
      </c>
      <c r="C16" s="23" t="s">
        <v>98</v>
      </c>
      <c r="D16" s="24" t="s">
        <v>99</v>
      </c>
      <c r="E16" s="23" t="s">
        <v>100</v>
      </c>
      <c r="F16" s="5"/>
      <c r="G16" s="5"/>
      <c r="H16" s="5"/>
      <c r="I16" s="5"/>
      <c r="J16" s="23" t="s">
        <v>101</v>
      </c>
    </row>
    <row r="17" spans="2:10" x14ac:dyDescent="0.45">
      <c r="B17" s="25" t="s">
        <v>109</v>
      </c>
      <c r="C17" s="26"/>
      <c r="D17" s="30">
        <v>5</v>
      </c>
      <c r="E17" s="26" t="s">
        <v>104</v>
      </c>
      <c r="F17" s="28"/>
      <c r="G17" s="28"/>
      <c r="H17" s="28"/>
      <c r="I17" s="28"/>
      <c r="J17" s="29" t="s">
        <v>110</v>
      </c>
    </row>
    <row r="18" spans="2:10" x14ac:dyDescent="0.45">
      <c r="B18" s="25" t="s">
        <v>111</v>
      </c>
      <c r="C18" s="26"/>
      <c r="D18" s="30">
        <v>4</v>
      </c>
      <c r="E18" s="26" t="s">
        <v>104</v>
      </c>
      <c r="F18" s="28"/>
      <c r="G18" s="28"/>
      <c r="H18" s="28"/>
      <c r="I18" s="28"/>
      <c r="J18" s="29" t="s">
        <v>112</v>
      </c>
    </row>
    <row r="19" spans="2:10" x14ac:dyDescent="0.45">
      <c r="B19" s="25" t="s">
        <v>113</v>
      </c>
      <c r="C19" s="26" t="s">
        <v>103</v>
      </c>
      <c r="D19" s="27">
        <v>100</v>
      </c>
      <c r="E19" s="26" t="s">
        <v>104</v>
      </c>
      <c r="F19" s="28"/>
      <c r="G19" s="28"/>
      <c r="H19" s="28"/>
      <c r="I19" s="28"/>
      <c r="J19" s="29" t="s">
        <v>114</v>
      </c>
    </row>
    <row r="20" spans="2:10" ht="8" customHeight="1" x14ac:dyDescent="0.45"/>
    <row r="21" spans="2:10" ht="22.05" customHeight="1" x14ac:dyDescent="0.5">
      <c r="B21" s="7" t="s">
        <v>115</v>
      </c>
      <c r="C21" s="8"/>
      <c r="D21" s="8"/>
      <c r="E21" s="8"/>
      <c r="F21" s="8"/>
      <c r="G21" s="8"/>
      <c r="H21" s="8"/>
      <c r="I21" s="8"/>
      <c r="J21" s="8"/>
    </row>
    <row r="22" spans="2:10" ht="18" customHeight="1" x14ac:dyDescent="0.45">
      <c r="B22" s="13" t="s">
        <v>116</v>
      </c>
    </row>
    <row r="23" spans="2:10" ht="18" customHeight="1" x14ac:dyDescent="0.45">
      <c r="B23" s="31" t="s">
        <v>117</v>
      </c>
      <c r="C23" s="32"/>
      <c r="D23" s="33" t="s">
        <v>118</v>
      </c>
      <c r="E23" s="31" t="s">
        <v>100</v>
      </c>
      <c r="F23" s="33" t="s">
        <v>119</v>
      </c>
      <c r="G23" s="33" t="s">
        <v>120</v>
      </c>
      <c r="H23" s="5"/>
      <c r="I23" s="5"/>
      <c r="J23" s="34" t="s">
        <v>101</v>
      </c>
    </row>
    <row r="24" spans="2:10" x14ac:dyDescent="0.45">
      <c r="B24" s="35"/>
      <c r="C24" s="35"/>
      <c r="D24" s="35" t="s">
        <v>121</v>
      </c>
      <c r="E24" s="35"/>
      <c r="F24" s="35" t="s">
        <v>122</v>
      </c>
      <c r="G24" s="35" t="s">
        <v>123</v>
      </c>
    </row>
    <row r="25" spans="2:10" x14ac:dyDescent="0.45">
      <c r="B25" s="25" t="s">
        <v>124</v>
      </c>
      <c r="C25" s="28"/>
      <c r="D25" s="36">
        <v>0.4</v>
      </c>
      <c r="E25" s="26" t="s">
        <v>104</v>
      </c>
      <c r="F25" s="37">
        <v>7.0000000000000007E-2</v>
      </c>
      <c r="G25" s="37">
        <v>0.16</v>
      </c>
      <c r="H25" s="28"/>
      <c r="I25" s="28"/>
      <c r="J25" s="28"/>
    </row>
    <row r="26" spans="2:10" x14ac:dyDescent="0.45">
      <c r="B26" s="25" t="s">
        <v>125</v>
      </c>
      <c r="C26" s="28"/>
      <c r="D26" s="36">
        <v>0.3</v>
      </c>
      <c r="E26" s="26" t="s">
        <v>104</v>
      </c>
      <c r="F26" s="37">
        <v>3.5000000000000003E-2</v>
      </c>
      <c r="G26" s="37">
        <v>0.06</v>
      </c>
      <c r="H26" s="28"/>
      <c r="I26" s="28"/>
      <c r="J26" s="28"/>
    </row>
    <row r="27" spans="2:10" x14ac:dyDescent="0.45">
      <c r="B27" s="25" t="s">
        <v>126</v>
      </c>
      <c r="C27" s="28"/>
      <c r="D27" s="36">
        <v>0.2</v>
      </c>
      <c r="E27" s="26" t="s">
        <v>104</v>
      </c>
      <c r="F27" s="37">
        <v>4.4999999999999998E-2</v>
      </c>
      <c r="G27" s="37">
        <v>0.08</v>
      </c>
      <c r="H27" s="28"/>
      <c r="I27" s="28"/>
      <c r="J27" s="28"/>
    </row>
    <row r="28" spans="2:10" x14ac:dyDescent="0.45">
      <c r="B28" s="25" t="s">
        <v>127</v>
      </c>
      <c r="C28" s="28"/>
      <c r="D28" s="36">
        <v>0.1</v>
      </c>
      <c r="E28" s="26" t="s">
        <v>104</v>
      </c>
      <c r="F28" s="37">
        <v>0.06</v>
      </c>
      <c r="G28" s="37">
        <v>0.18</v>
      </c>
      <c r="H28" s="28"/>
      <c r="I28" s="28"/>
      <c r="J28" s="28"/>
    </row>
    <row r="29" spans="2:10" x14ac:dyDescent="0.45">
      <c r="B29" s="38" t="s">
        <v>128</v>
      </c>
      <c r="C29" s="28"/>
      <c r="D29" s="39">
        <f>SUM(D25:D28)</f>
        <v>0.99999999999999989</v>
      </c>
      <c r="E29" s="26" t="s">
        <v>129</v>
      </c>
      <c r="F29" s="28"/>
      <c r="G29" s="28"/>
      <c r="H29" s="28"/>
      <c r="I29" s="28"/>
      <c r="J29" s="28"/>
    </row>
    <row r="30" spans="2:10" ht="8" customHeight="1" x14ac:dyDescent="0.45"/>
    <row r="31" spans="2:10" ht="22.05" customHeight="1" x14ac:dyDescent="0.5">
      <c r="B31" s="7" t="s">
        <v>130</v>
      </c>
      <c r="C31" s="8"/>
      <c r="D31" s="8"/>
      <c r="E31" s="8"/>
      <c r="F31" s="8"/>
      <c r="G31" s="8"/>
      <c r="H31" s="8"/>
      <c r="I31" s="8"/>
      <c r="J31" s="8"/>
    </row>
    <row r="32" spans="2:10" ht="18" customHeight="1" x14ac:dyDescent="0.45">
      <c r="B32" s="13" t="s">
        <v>131</v>
      </c>
    </row>
    <row r="33" spans="2:10" ht="18" customHeight="1" x14ac:dyDescent="0.45">
      <c r="B33" s="34"/>
      <c r="C33" s="5"/>
      <c r="D33" s="5"/>
      <c r="E33" s="5"/>
      <c r="F33" s="40" t="s">
        <v>132</v>
      </c>
      <c r="G33" s="40" t="s">
        <v>133</v>
      </c>
      <c r="H33" s="40" t="s">
        <v>134</v>
      </c>
      <c r="I33" s="40" t="s">
        <v>135</v>
      </c>
      <c r="J33" s="5"/>
    </row>
    <row r="34" spans="2:10" x14ac:dyDescent="0.45">
      <c r="B34" s="25" t="s">
        <v>124</v>
      </c>
      <c r="C34" s="28"/>
      <c r="D34" s="28"/>
      <c r="E34" s="28"/>
      <c r="F34" s="41">
        <v>1</v>
      </c>
      <c r="G34" s="42">
        <v>-0.2</v>
      </c>
      <c r="H34" s="42">
        <v>0.6</v>
      </c>
      <c r="I34" s="42">
        <v>0.7</v>
      </c>
      <c r="J34" s="26" t="s">
        <v>136</v>
      </c>
    </row>
    <row r="35" spans="2:10" x14ac:dyDescent="0.45">
      <c r="B35" s="25" t="s">
        <v>125</v>
      </c>
      <c r="C35" s="28"/>
      <c r="D35" s="28"/>
      <c r="E35" s="28"/>
      <c r="F35" s="41">
        <f>G34</f>
        <v>-0.2</v>
      </c>
      <c r="G35" s="41">
        <v>1</v>
      </c>
      <c r="H35" s="42">
        <v>0.4</v>
      </c>
      <c r="I35" s="42">
        <v>0</v>
      </c>
      <c r="J35" s="28"/>
    </row>
    <row r="36" spans="2:10" x14ac:dyDescent="0.45">
      <c r="B36" s="25" t="s">
        <v>126</v>
      </c>
      <c r="C36" s="28"/>
      <c r="D36" s="28"/>
      <c r="E36" s="28"/>
      <c r="F36" s="41">
        <f>H34</f>
        <v>0.6</v>
      </c>
      <c r="G36" s="41">
        <f>H35</f>
        <v>0.4</v>
      </c>
      <c r="H36" s="41">
        <v>1</v>
      </c>
      <c r="I36" s="42">
        <v>0.5</v>
      </c>
      <c r="J36" s="28"/>
    </row>
    <row r="37" spans="2:10" x14ac:dyDescent="0.45">
      <c r="B37" s="25" t="s">
        <v>127</v>
      </c>
      <c r="C37" s="28"/>
      <c r="D37" s="28"/>
      <c r="E37" s="28"/>
      <c r="F37" s="41">
        <f>I34</f>
        <v>0.7</v>
      </c>
      <c r="G37" s="41">
        <f>I35</f>
        <v>0</v>
      </c>
      <c r="H37" s="41">
        <f>I36</f>
        <v>0.5</v>
      </c>
      <c r="I37" s="41">
        <v>1</v>
      </c>
      <c r="J37" s="28"/>
    </row>
    <row r="38" spans="2:10" ht="14" customHeight="1" x14ac:dyDescent="0.45"/>
  </sheetData>
  <mergeCells count="1">
    <mergeCell ref="B6:J6"/>
  </mergeCells>
  <conditionalFormatting sqref="D29">
    <cfRule type="expression" dxfId="10" priority="1">
      <formula>ABS($D$29-1)&gt;0.000001</formula>
    </cfRule>
  </conditionalFormatting>
  <dataValidations count="6">
    <dataValidation type="decimal" operator="greaterThan" showErrorMessage="1" errorTitle="Positive value" error="Enter a value greater than zero." sqref="D19 D11:D12" xr:uid="{00000000-0002-0000-0100-000000000000}">
      <formula1>0</formula1>
    </dataValidation>
    <dataValidation type="whole" showErrorMessage="1" errorTitle="Whole number" error="Enter a whole number from 3 to 100." sqref="D17" xr:uid="{00000000-0002-0000-0100-000002000000}">
      <formula1>3</formula1>
      <formula2>100</formula2>
    </dataValidation>
    <dataValidation type="whole" showErrorMessage="1" errorTitle="Whole number" error="Enter a whole number from 2 to 100." sqref="D18" xr:uid="{00000000-0002-0000-0100-000003000000}">
      <formula1>2</formula1>
      <formula2>100</formula2>
    </dataValidation>
    <dataValidation type="decimal" showErrorMessage="1" errorTitle="Weight" error="Enter a share between 0% and 100%." sqref="D25:D28" xr:uid="{00000000-0002-0000-0100-000005000000}">
      <formula1>0</formula1>
      <formula2>1</formula2>
    </dataValidation>
    <dataValidation type="decimal" showErrorMessage="1" errorTitle="Volatility" error="Enter a volatility above 0." sqref="G25:G28" xr:uid="{00000000-0002-0000-0100-000006000000}">
      <formula1>0.0001</formula1>
      <formula2>10</formula2>
    </dataValidation>
    <dataValidation type="custom" showErrorMessage="1" errorTitle="Correlation" error="Enter a correlation between -1 and 1." sqref="F34:I37" xr:uid="{00000000-0002-0000-0100-000007000000}">
      <formula1>AND(F34&gt;=-1,F34&lt;=1)</formula1>
    </dataValidation>
  </dataValidations>
  <hyperlinks>
    <hyperlink ref="B4" location="'About'!A1" display="◂  About" xr:uid="{00000000-0004-0000-0100-000000000000}"/>
    <hyperlink ref="J4" location="'Portfolio'!A1" display="Next:  Portfolio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K32"/>
  <sheetViews>
    <sheetView showGridLines="0" workbookViewId="0"/>
  </sheetViews>
  <sheetFormatPr defaultRowHeight="14.25" x14ac:dyDescent="0.45"/>
  <cols>
    <col min="1" max="1" width="2" customWidth="1"/>
    <col min="2" max="2" width="30" customWidth="1"/>
    <col min="3" max="9" width="11" customWidth="1"/>
    <col min="10" max="10" width="2" customWidth="1"/>
    <col min="11" max="11" width="40" customWidth="1"/>
  </cols>
  <sheetData>
    <row r="1" spans="1:11" ht="6" customHeight="1" x14ac:dyDescent="0.45"/>
    <row r="2" spans="1:11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3" t="s">
        <v>1</v>
      </c>
    </row>
    <row r="3" spans="1:11" ht="20" customHeight="1" x14ac:dyDescent="0.45">
      <c r="A3" s="1"/>
      <c r="B3" s="4" t="s">
        <v>137</v>
      </c>
      <c r="C3" s="1"/>
      <c r="D3" s="1"/>
      <c r="E3" s="1"/>
      <c r="F3" s="1"/>
      <c r="G3" s="1"/>
      <c r="H3" s="1"/>
      <c r="I3" s="1"/>
      <c r="J3" s="1"/>
      <c r="K3" s="1"/>
    </row>
    <row r="4" spans="1:11" ht="20" customHeight="1" x14ac:dyDescent="0.45">
      <c r="A4" s="5"/>
      <c r="B4" s="22" t="s">
        <v>138</v>
      </c>
      <c r="C4" s="5"/>
      <c r="D4" s="5"/>
      <c r="E4" s="5"/>
      <c r="F4" s="5"/>
      <c r="G4" s="5"/>
      <c r="H4" s="5"/>
      <c r="I4" s="5"/>
      <c r="J4" s="5"/>
      <c r="K4" s="6" t="s">
        <v>139</v>
      </c>
    </row>
    <row r="5" spans="1:11" ht="8" customHeight="1" x14ac:dyDescent="0.45"/>
    <row r="6" spans="1:11" ht="22.05" customHeight="1" x14ac:dyDescent="0.5">
      <c r="B6" s="7" t="s">
        <v>140</v>
      </c>
      <c r="C6" s="8"/>
      <c r="D6" s="8"/>
      <c r="E6" s="8"/>
      <c r="F6" s="8"/>
      <c r="G6" s="8"/>
      <c r="H6" s="8"/>
      <c r="I6" s="8"/>
      <c r="J6" s="8"/>
      <c r="K6" s="8"/>
    </row>
    <row r="7" spans="1:11" ht="18" customHeight="1" x14ac:dyDescent="0.45">
      <c r="B7" s="13" t="s">
        <v>141</v>
      </c>
    </row>
    <row r="8" spans="1:11" ht="18" customHeight="1" x14ac:dyDescent="0.45">
      <c r="B8" s="34"/>
      <c r="C8" s="40" t="s">
        <v>142</v>
      </c>
      <c r="D8" s="40" t="s">
        <v>143</v>
      </c>
      <c r="E8" s="40" t="s">
        <v>144</v>
      </c>
      <c r="F8" s="40" t="s">
        <v>145</v>
      </c>
      <c r="G8" s="5"/>
      <c r="H8" s="5"/>
      <c r="I8" s="5"/>
      <c r="J8" s="5"/>
      <c r="K8" s="5"/>
    </row>
    <row r="9" spans="1:11" x14ac:dyDescent="0.45">
      <c r="B9" s="25" t="s">
        <v>146</v>
      </c>
      <c r="C9" s="43">
        <f t="array" ref="C9:F9">_xll.VoseEigenValues(CorrMatrix)</f>
        <v>0.15459233646019063</v>
      </c>
      <c r="D9" s="43">
        <v>0.39892203674273952</v>
      </c>
      <c r="E9" s="43">
        <v>1.2344530680839412</v>
      </c>
      <c r="F9" s="43">
        <v>2.212032558713128</v>
      </c>
      <c r="G9" s="28"/>
      <c r="H9" s="28"/>
      <c r="I9" s="28"/>
      <c r="J9" s="28"/>
      <c r="K9" s="26" t="s">
        <v>147</v>
      </c>
    </row>
    <row r="10" spans="1:11" ht="8" customHeight="1" x14ac:dyDescent="0.45"/>
    <row r="11" spans="1:11" ht="22.05" customHeight="1" x14ac:dyDescent="0.5">
      <c r="B11" s="7" t="s">
        <v>148</v>
      </c>
      <c r="C11" s="8"/>
      <c r="D11" s="8"/>
      <c r="E11" s="8"/>
      <c r="F11" s="8"/>
      <c r="G11" s="8"/>
      <c r="H11" s="8"/>
      <c r="I11" s="8"/>
      <c r="J11" s="8"/>
      <c r="K11" s="8"/>
    </row>
    <row r="12" spans="1:11" ht="18" customHeight="1" x14ac:dyDescent="0.45">
      <c r="B12" s="13" t="s">
        <v>149</v>
      </c>
    </row>
    <row r="13" spans="1:11" ht="18" customHeight="1" x14ac:dyDescent="0.45">
      <c r="B13" s="31" t="s">
        <v>117</v>
      </c>
      <c r="C13" s="33" t="s">
        <v>118</v>
      </c>
      <c r="D13" s="33" t="s">
        <v>119</v>
      </c>
      <c r="E13" s="33" t="s">
        <v>120</v>
      </c>
      <c r="F13" s="33" t="s">
        <v>150</v>
      </c>
      <c r="G13" s="33" t="s">
        <v>151</v>
      </c>
      <c r="H13" s="33" t="s">
        <v>152</v>
      </c>
      <c r="I13" s="33" t="s">
        <v>151</v>
      </c>
      <c r="J13" s="5"/>
      <c r="K13" s="5"/>
    </row>
    <row r="14" spans="1:11" x14ac:dyDescent="0.45">
      <c r="B14" s="35"/>
      <c r="C14" s="35"/>
      <c r="D14" s="35" t="s">
        <v>153</v>
      </c>
      <c r="E14" s="35"/>
      <c r="F14" s="35" t="s">
        <v>154</v>
      </c>
      <c r="G14" s="35" t="s">
        <v>155</v>
      </c>
      <c r="H14" s="35" t="s">
        <v>154</v>
      </c>
      <c r="I14" s="35" t="s">
        <v>156</v>
      </c>
    </row>
    <row r="15" spans="1:11" x14ac:dyDescent="0.45">
      <c r="B15" s="25" t="s">
        <v>124</v>
      </c>
      <c r="C15" s="39">
        <f>W_Eq</f>
        <v>0.4</v>
      </c>
      <c r="D15" s="44">
        <f>Mu_Eq</f>
        <v>7.0000000000000007E-2</v>
      </c>
      <c r="E15" s="44">
        <f>Sd_Eq</f>
        <v>0.16</v>
      </c>
      <c r="F15" s="45">
        <f t="array" aca="1" ref="F15:F18" ca="1">_xll.VoseCopulaMultiNormal(CorrMatrix)</f>
        <v>0.96039082711337143</v>
      </c>
      <c r="G15" s="46" cm="1">
        <f t="array" aca="1" ref="G15" ca="1">_xll.VoseNormal(D15,E15,F15)</f>
        <v>0.35083832402609788</v>
      </c>
      <c r="H15" s="45">
        <f t="array" aca="1" ref="H15:H18" ca="1">_xll.VoseCopulaMultiT(NuCop,CorrMatrix)</f>
        <v>0.52354210757884057</v>
      </c>
      <c r="I15" s="46" cm="1">
        <f t="array" aca="1" ref="I15" ca="1">_xll.VoseInput("Global equities return","per year")+_xll.VoseStudent3(D15,E15,NuMarg,H15)</f>
        <v>7.7692039305189545E-2</v>
      </c>
      <c r="J15" s="28"/>
      <c r="K15" s="26" t="s">
        <v>157</v>
      </c>
    </row>
    <row r="16" spans="1:11" x14ac:dyDescent="0.45">
      <c r="B16" s="25" t="s">
        <v>125</v>
      </c>
      <c r="C16" s="39">
        <f>W_Gov</f>
        <v>0.3</v>
      </c>
      <c r="D16" s="44">
        <f>Mu_Gov</f>
        <v>3.5000000000000003E-2</v>
      </c>
      <c r="E16" s="44">
        <f>Sd_Gov</f>
        <v>0.06</v>
      </c>
      <c r="F16" s="45">
        <f ca="1"/>
        <v>0.12817408831166227</v>
      </c>
      <c r="G16" s="46" cm="1">
        <f t="array" aca="1" ref="G16" ca="1">_xll.VoseNormal(D16,E16,F16)</f>
        <v>-3.3103886866019477E-2</v>
      </c>
      <c r="H16" s="45">
        <f ca="1"/>
        <v>0.22296443390686793</v>
      </c>
      <c r="I16" s="46" cm="1">
        <f t="array" aca="1" ref="I16" ca="1">_xll.VoseInput("Government bonds return","per year")+_xll.VoseStudent3(D16,E16,NuMarg,H16)</f>
        <v>-3.4325252019996588E-3</v>
      </c>
      <c r="J16" s="28"/>
      <c r="K16" s="26" t="s">
        <v>158</v>
      </c>
    </row>
    <row r="17" spans="2:11" x14ac:dyDescent="0.45">
      <c r="B17" s="25" t="s">
        <v>126</v>
      </c>
      <c r="C17" s="39">
        <f>W_Cred</f>
        <v>0.2</v>
      </c>
      <c r="D17" s="44">
        <f>Mu_Cred</f>
        <v>4.4999999999999998E-2</v>
      </c>
      <c r="E17" s="44">
        <f>Sd_Cred</f>
        <v>0.08</v>
      </c>
      <c r="F17" s="45">
        <f ca="1"/>
        <v>0.84465175003781612</v>
      </c>
      <c r="G17" s="46" cm="1">
        <f t="array" aca="1" ref="G17" ca="1">_xll.VoseNormal(D17,E17,F17)</f>
        <v>0.1261009317985754</v>
      </c>
      <c r="H17" s="45">
        <f ca="1"/>
        <v>0.45639701059460025</v>
      </c>
      <c r="I17" s="46" cm="1">
        <f t="array" aca="1" ref="I17" ca="1">_xll.VoseInput("Corporate bonds return","per year")+_xll.VoseStudent3(D17,E17,NuMarg,H17)</f>
        <v>3.786329154229056E-2</v>
      </c>
      <c r="J17" s="28"/>
      <c r="K17" s="28"/>
    </row>
    <row r="18" spans="2:11" x14ac:dyDescent="0.45">
      <c r="B18" s="25" t="s">
        <v>127</v>
      </c>
      <c r="C18" s="39">
        <f>W_RE</f>
        <v>0.1</v>
      </c>
      <c r="D18" s="44">
        <f>Mu_RE</f>
        <v>0.06</v>
      </c>
      <c r="E18" s="44">
        <f>Sd_RE</f>
        <v>0.18</v>
      </c>
      <c r="F18" s="45">
        <f ca="1"/>
        <v>0.97461321069979401</v>
      </c>
      <c r="G18" s="46" cm="1">
        <f t="array" aca="1" ref="G18" ca="1">_xll.VoseNormal(D18,E18,F18)</f>
        <v>0.41160992888494707</v>
      </c>
      <c r="H18" s="45">
        <f ca="1"/>
        <v>0.40209457850098751</v>
      </c>
      <c r="I18" s="46" cm="1">
        <f t="array" aca="1" ref="I18" ca="1">_xll.VoseInput("Listed real estate return","per year")+_xll.VoseStudent3(D18,E18,NuMarg,H18)</f>
        <v>2.354969282997714E-2</v>
      </c>
      <c r="J18" s="28"/>
      <c r="K18" s="28"/>
    </row>
    <row r="19" spans="2:11" ht="8" customHeight="1" x14ac:dyDescent="0.45"/>
    <row r="20" spans="2:11" ht="22.05" customHeight="1" x14ac:dyDescent="0.5">
      <c r="B20" s="7" t="s">
        <v>159</v>
      </c>
      <c r="C20" s="8"/>
      <c r="D20" s="8"/>
      <c r="E20" s="8"/>
      <c r="F20" s="8"/>
      <c r="G20" s="8"/>
      <c r="H20" s="8"/>
      <c r="I20" s="8"/>
      <c r="J20" s="8"/>
      <c r="K20" s="8"/>
    </row>
    <row r="21" spans="2:11" ht="18" customHeight="1" x14ac:dyDescent="0.45">
      <c r="B21" s="13" t="s">
        <v>160</v>
      </c>
    </row>
    <row r="22" spans="2:11" ht="18" customHeight="1" x14ac:dyDescent="0.45">
      <c r="B22" s="34" t="s">
        <v>161</v>
      </c>
      <c r="C22" s="5"/>
      <c r="D22" s="34" t="s">
        <v>98</v>
      </c>
      <c r="E22" s="40" t="s">
        <v>162</v>
      </c>
      <c r="F22" s="5"/>
      <c r="G22" s="34" t="s">
        <v>163</v>
      </c>
      <c r="H22" s="5"/>
      <c r="I22" s="5"/>
      <c r="J22" s="5"/>
      <c r="K22" s="5"/>
    </row>
    <row r="23" spans="2:11" x14ac:dyDescent="0.45">
      <c r="B23" s="25" t="s">
        <v>164</v>
      </c>
      <c r="C23" s="28"/>
      <c r="D23" s="26" t="s">
        <v>103</v>
      </c>
      <c r="E23" s="47" cm="1">
        <f t="array" aca="1" ref="E23" ca="1">_xll.VoseOutput("Loss, Normal model","US$m")+-SUMPRODUCT(C15:C18,G15:G18)*Invested</f>
        <v>-98.392671399421559</v>
      </c>
      <c r="F23" s="28"/>
      <c r="G23" s="26" t="s">
        <v>165</v>
      </c>
      <c r="H23" s="28"/>
      <c r="I23" s="28"/>
      <c r="J23" s="28"/>
      <c r="K23" s="28"/>
    </row>
    <row r="24" spans="2:11" x14ac:dyDescent="0.45">
      <c r="B24" s="25" t="s">
        <v>166</v>
      </c>
      <c r="C24" s="28"/>
      <c r="D24" s="26" t="s">
        <v>103</v>
      </c>
      <c r="E24" s="47" cm="1">
        <f t="array" aca="1" ref="E24" ca="1">_xll.VoseOutput("Loss, fat-tailed model","US$m")+-SUMPRODUCT(C15:C18,I15:I18)*Invested</f>
        <v>-19.987342876465874</v>
      </c>
      <c r="F24" s="28"/>
      <c r="G24" s="26"/>
      <c r="H24" s="28"/>
      <c r="I24" s="28"/>
      <c r="J24" s="28"/>
      <c r="K24" s="28"/>
    </row>
    <row r="25" spans="2:11" x14ac:dyDescent="0.45">
      <c r="B25" s="25" t="s">
        <v>167</v>
      </c>
      <c r="C25" s="28"/>
      <c r="D25" s="26" t="s">
        <v>168</v>
      </c>
      <c r="E25" s="48" cm="1">
        <f t="array" aca="1" ref="E25" ca="1">_xll.VoseOutput("Large loss, Normal","1 = yes")+IF(Loss_A&gt;BigLoss,1,0)</f>
        <v>0</v>
      </c>
      <c r="F25" s="28"/>
      <c r="G25" s="26"/>
      <c r="H25" s="28"/>
      <c r="I25" s="28"/>
      <c r="J25" s="28"/>
      <c r="K25" s="28"/>
    </row>
    <row r="26" spans="2:11" x14ac:dyDescent="0.45">
      <c r="B26" s="25" t="s">
        <v>169</v>
      </c>
      <c r="C26" s="28"/>
      <c r="D26" s="26" t="s">
        <v>168</v>
      </c>
      <c r="E26" s="48" cm="1">
        <f t="array" aca="1" ref="E26" ca="1">_xll.VoseOutput("Large loss, fat-tailed","1 = yes")+IF(Loss_B&gt;BigLoss,1,0)</f>
        <v>0</v>
      </c>
      <c r="F26" s="28"/>
      <c r="G26" s="26"/>
      <c r="H26" s="28"/>
      <c r="I26" s="28"/>
      <c r="J26" s="28"/>
      <c r="K26" s="28"/>
    </row>
    <row r="27" spans="2:11" ht="8" customHeight="1" x14ac:dyDescent="0.45"/>
    <row r="28" spans="2:11" ht="22.05" customHeight="1" x14ac:dyDescent="0.5">
      <c r="B28" s="7" t="s">
        <v>170</v>
      </c>
      <c r="C28" s="8"/>
      <c r="D28" s="8"/>
      <c r="E28" s="8"/>
      <c r="F28" s="8"/>
      <c r="G28" s="8"/>
      <c r="H28" s="8"/>
      <c r="I28" s="8"/>
      <c r="J28" s="8"/>
      <c r="K28" s="8"/>
    </row>
    <row r="29" spans="2:11" ht="18" customHeight="1" x14ac:dyDescent="0.45">
      <c r="B29" s="13" t="s">
        <v>171</v>
      </c>
    </row>
    <row r="30" spans="2:11" x14ac:dyDescent="0.45">
      <c r="B30" s="25" t="s">
        <v>172</v>
      </c>
      <c r="C30" s="28"/>
      <c r="D30" s="28"/>
      <c r="E30" s="49" t="str">
        <f>IF(ABS(SUM(C15:C18)-1)&lt;0.0001,"OK","CHECK")</f>
        <v>OK</v>
      </c>
      <c r="F30" s="28"/>
      <c r="G30" s="28"/>
      <c r="H30" s="28"/>
      <c r="I30" s="28"/>
      <c r="J30" s="28"/>
      <c r="K30" s="28"/>
    </row>
    <row r="31" spans="2:11" x14ac:dyDescent="0.45">
      <c r="B31" s="25" t="s">
        <v>173</v>
      </c>
      <c r="C31" s="28"/>
      <c r="D31" s="28"/>
      <c r="E31" s="49" t="str">
        <f>IF(MIN(CorrEigen)&gt;0,"OK","CHECK")</f>
        <v>OK</v>
      </c>
      <c r="F31" s="28"/>
      <c r="G31" s="28"/>
      <c r="H31" s="28"/>
      <c r="I31" s="28"/>
      <c r="J31" s="28"/>
      <c r="K31" s="28"/>
    </row>
    <row r="32" spans="2:11" ht="14" customHeight="1" x14ac:dyDescent="0.45"/>
  </sheetData>
  <conditionalFormatting sqref="E30:E31">
    <cfRule type="expression" dxfId="9" priority="1">
      <formula>E30="CHECK"</formula>
    </cfRule>
  </conditionalFormatting>
  <hyperlinks>
    <hyperlink ref="B4" location="'Inputs'!A1" display="◂  Inputs" xr:uid="{00000000-0004-0000-0200-000000000000}"/>
    <hyperlink ref="K4" location="'Results'!A1" display="Next:  Results  ▸" xr:uid="{00000000-0004-0000-0200-000001000000}"/>
  </hyperlinks>
  <printOptions horizontalCentered="1"/>
  <pageMargins left="0.4" right="0.4" top="0.5" bottom="0.6" header="0.25" footer="0.25"/>
  <pageSetup paperSize="9" scale="86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60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174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0" t="str" cm="1">
        <f t="array" aca="1" ref="B6" ca="1">IF(ISNUMBER(_xll.VoseSimMean(Loss_B)),"✔  Showing results of the last simulation run in this Excel session. Re-run the simulation after changing any input.","▶  No simulation results yet. On the ModelRisk ribbon, start a simulation — this sheet then fills in automatically.")</f>
        <v>✔  Showing results of the last simulation run in this Excel session. Re-run the simulation after changing any input.</v>
      </c>
      <c r="C6" s="51"/>
      <c r="D6" s="51"/>
      <c r="E6" s="51"/>
      <c r="F6" s="51"/>
      <c r="G6" s="51"/>
    </row>
    <row r="7" spans="1:18" x14ac:dyDescent="0.45">
      <c r="B7" s="52" t="str">
        <f>IF(COUNTIF(Checks,"CHECK")=0,"✔  All model checks read OK.","✗  "&amp;COUNTIF(Checks,"CHECK")&amp;" model check(s) read CHECK: see Model checks at the end of the calculation sheet.")</f>
        <v>✔  All model checks read OK.</v>
      </c>
    </row>
    <row r="8" spans="1:18" ht="8" customHeight="1" x14ac:dyDescent="0.45"/>
    <row r="9" spans="1:18" ht="22.05" customHeight="1" x14ac:dyDescent="0.5">
      <c r="B9" s="7" t="s">
        <v>176</v>
      </c>
      <c r="C9" s="8"/>
      <c r="D9" s="8"/>
      <c r="E9" s="8"/>
      <c r="F9" s="8"/>
      <c r="G9" s="8"/>
      <c r="I9" s="53" t="s">
        <v>177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178</v>
      </c>
    </row>
    <row r="11" spans="1:18" ht="18" customHeight="1" x14ac:dyDescent="0.45">
      <c r="B11" s="54" t="s">
        <v>179</v>
      </c>
      <c r="C11" s="54"/>
      <c r="D11" s="55" t="s">
        <v>180</v>
      </c>
      <c r="E11" s="55" t="s">
        <v>181</v>
      </c>
      <c r="F11" s="55" t="s">
        <v>182</v>
      </c>
      <c r="G11" s="5"/>
    </row>
    <row r="12" spans="1:18" x14ac:dyDescent="0.45">
      <c r="B12" s="35"/>
      <c r="C12" s="35"/>
      <c r="D12" s="35" t="s">
        <v>183</v>
      </c>
      <c r="E12" s="35" t="s">
        <v>183</v>
      </c>
      <c r="F12" s="35"/>
    </row>
    <row r="13" spans="1:18" x14ac:dyDescent="0.45">
      <c r="B13" s="25" t="s">
        <v>184</v>
      </c>
      <c r="C13" s="28"/>
      <c r="D13" s="56" cm="1">
        <f t="array" aca="1" ref="D13" ca="1">_xll.VoseSimMean(Loss_A)</f>
        <v>-27.194914505542297</v>
      </c>
      <c r="E13" s="56" cm="1">
        <f t="array" aca="1" ref="E13" ca="1">_xll.VoseSimMean(Loss_B)</f>
        <v>-27.050979172094561</v>
      </c>
      <c r="F13" s="28"/>
      <c r="G13" s="28"/>
    </row>
    <row r="14" spans="1:18" x14ac:dyDescent="0.45">
      <c r="B14" s="25" t="s">
        <v>185</v>
      </c>
      <c r="C14" s="28"/>
      <c r="D14" s="56" cm="1">
        <f t="array" aca="1" ref="D14" ca="1">_xll.VoseSimPercentile(Loss_A,0.95)</f>
        <v>45.7547827082645</v>
      </c>
      <c r="E14" s="56" cm="1">
        <f t="array" aca="1" ref="E14" ca="1">_xll.VoseSimPercentile(Loss_B,0.95)</f>
        <v>42.122784302836493</v>
      </c>
      <c r="F14" s="57">
        <f ca="1">IF(AND(ISNUMBER(D14),ISNUMBER(E14),D14&lt;&gt;0),E14/D14-1,"–")</f>
        <v>-7.9379644934298277E-2</v>
      </c>
      <c r="G14" s="28"/>
    </row>
    <row r="15" spans="1:18" x14ac:dyDescent="0.45">
      <c r="B15" s="25" t="s">
        <v>186</v>
      </c>
      <c r="C15" s="28"/>
      <c r="D15" s="56" cm="1">
        <f t="array" aca="1" ref="D15" ca="1">_xll.VoseSimPercentile(Loss_A,0.99)</f>
        <v>79.034027449994525</v>
      </c>
      <c r="E15" s="56" cm="1">
        <f t="array" aca="1" ref="E15" ca="1">_xll.VoseSimPercentile(Loss_B,0.99)</f>
        <v>88.645579816440687</v>
      </c>
      <c r="F15" s="57">
        <f ca="1">IF(AND(ISNUMBER(D15),ISNUMBER(E15),D15&lt;&gt;0),E15/D15-1,"–")</f>
        <v>0.12161283786945409</v>
      </c>
      <c r="G15" s="28"/>
    </row>
    <row r="16" spans="1:18" x14ac:dyDescent="0.45">
      <c r="B16" s="38" t="s">
        <v>187</v>
      </c>
      <c r="C16" s="28"/>
      <c r="D16" s="56" cm="1">
        <f t="array" aca="1" ref="D16" ca="1">_xll.VoseSimCVARp(Loss_A,0.025)</f>
        <v>80.174174849723229</v>
      </c>
      <c r="E16" s="56" cm="1">
        <f t="array" aca="1" ref="E16" ca="1">_xll.VoseSimCVARp(Loss_B,0.025)</f>
        <v>92.499701799498737</v>
      </c>
      <c r="F16" s="57">
        <f ca="1">IF(AND(ISNUMBER(D16),ISNUMBER(E16),D16&lt;&gt;0),E16/D16-1,"–")</f>
        <v>0.15373437859358341</v>
      </c>
      <c r="G16" s="28"/>
    </row>
    <row r="17" spans="2:7" x14ac:dyDescent="0.45">
      <c r="B17" s="38" t="s">
        <v>188</v>
      </c>
      <c r="C17" s="28"/>
      <c r="D17" s="56" cm="1">
        <f t="array" aca="1" ref="D17" ca="1">_xll.VoseSimCVARp(Loss_A,0.01)</f>
        <v>97.255103031715734</v>
      </c>
      <c r="E17" s="56" cm="1">
        <f t="array" aca="1" ref="E17" ca="1">_xll.VoseSimCVARp(Loss_B,0.01)</f>
        <v>121.87086003218234</v>
      </c>
      <c r="F17" s="57">
        <f ca="1">IF(AND(ISNUMBER(D17),ISNUMBER(E17),D17&lt;&gt;0),E17/D17-1,"–")</f>
        <v>0.25310504264685418</v>
      </c>
      <c r="G17" s="28"/>
    </row>
    <row r="18" spans="2:7" x14ac:dyDescent="0.45">
      <c r="B18" s="25" t="s">
        <v>189</v>
      </c>
      <c r="C18" s="28"/>
      <c r="D18" s="58" cm="1">
        <f t="array" aca="1" ref="D18" ca="1">_xll.VoseSimMean(Big_A)</f>
        <v>3.2000000000000002E-3</v>
      </c>
      <c r="E18" s="58" cm="1">
        <f t="array" aca="1" ref="E18" ca="1">_xll.VoseSimMean(Big_B)</f>
        <v>6.7000000000000002E-3</v>
      </c>
      <c r="F18" s="57">
        <f ca="1">IF(AND(ISNUMBER(D18),ISNUMBER(E18),D18&lt;&gt;0),E18/D18-1,"–")</f>
        <v>1.09375</v>
      </c>
      <c r="G18" s="28"/>
    </row>
    <row r="19" spans="2:7" x14ac:dyDescent="0.45">
      <c r="B19" s="38" t="s">
        <v>190</v>
      </c>
      <c r="C19" s="28"/>
      <c r="D19" s="59" t="str">
        <f ca="1">IF(ISNUMBER(D14),IF(D14&lt;=VaRLimit,"✔ within","✘ above"),"–")</f>
        <v>✔ within</v>
      </c>
      <c r="E19" s="59" t="str">
        <f ca="1">IF(ISNUMBER(E14),IF(E14&lt;=VaRLimit,"✔ within","✘ above"),"–")</f>
        <v>✔ within</v>
      </c>
      <c r="F19" s="28"/>
      <c r="G19" s="28"/>
    </row>
    <row r="20" spans="2:7" ht="18" customHeight="1" x14ac:dyDescent="0.45">
      <c r="B20" s="23" t="s">
        <v>179</v>
      </c>
      <c r="C20" s="23" t="s">
        <v>98</v>
      </c>
      <c r="D20" s="24" t="s">
        <v>162</v>
      </c>
      <c r="E20" s="5"/>
      <c r="F20" s="5"/>
      <c r="G20" s="5"/>
    </row>
    <row r="21" spans="2:7" x14ac:dyDescent="0.45">
      <c r="B21" s="60" t="s">
        <v>102</v>
      </c>
      <c r="C21" s="26" t="s">
        <v>103</v>
      </c>
      <c r="D21" s="61">
        <f>Invested</f>
        <v>500</v>
      </c>
      <c r="E21" s="28"/>
      <c r="F21" s="28"/>
      <c r="G21" s="28"/>
    </row>
    <row r="22" spans="2:7" x14ac:dyDescent="0.45">
      <c r="B22" s="60" t="s">
        <v>105</v>
      </c>
      <c r="C22" s="26" t="s">
        <v>103</v>
      </c>
      <c r="D22" s="61">
        <f>VaRLimit</f>
        <v>50</v>
      </c>
      <c r="E22" s="28"/>
      <c r="F22" s="28"/>
      <c r="G22" s="28"/>
    </row>
    <row r="23" spans="2:7" ht="8" customHeight="1" x14ac:dyDescent="0.45"/>
    <row r="24" spans="2:7" ht="22.05" customHeight="1" x14ac:dyDescent="0.5">
      <c r="B24" s="7" t="s">
        <v>191</v>
      </c>
      <c r="C24" s="8"/>
      <c r="D24" s="8"/>
      <c r="E24" s="8"/>
      <c r="F24" s="8"/>
      <c r="G24" s="8"/>
    </row>
    <row r="25" spans="2:7" ht="18" customHeight="1" x14ac:dyDescent="0.45">
      <c r="B25" s="13" t="s">
        <v>192</v>
      </c>
    </row>
    <row r="26" spans="2:7" ht="18" customHeight="1" x14ac:dyDescent="0.45">
      <c r="B26" s="54" t="s">
        <v>193</v>
      </c>
      <c r="C26" s="32"/>
      <c r="D26" s="55" t="s">
        <v>180</v>
      </c>
      <c r="E26" s="55" t="s">
        <v>181</v>
      </c>
      <c r="F26" s="55" t="s">
        <v>182</v>
      </c>
      <c r="G26" s="5"/>
    </row>
    <row r="27" spans="2:7" x14ac:dyDescent="0.45">
      <c r="B27" s="35"/>
      <c r="C27" s="35"/>
      <c r="D27" s="35" t="s">
        <v>183</v>
      </c>
      <c r="E27" s="35" t="s">
        <v>183</v>
      </c>
      <c r="F27" s="35"/>
    </row>
    <row r="28" spans="2:7" x14ac:dyDescent="0.45">
      <c r="B28" s="62">
        <v>0.9</v>
      </c>
      <c r="C28" s="28"/>
      <c r="D28" s="56" cm="1">
        <f t="array" aca="1" ref="D28" ca="1">_xll.VoseSimPercentile(Loss_A,B28)</f>
        <v>29.791709317522059</v>
      </c>
      <c r="E28" s="56" cm="1">
        <f t="array" aca="1" ref="E28" ca="1">_xll.VoseSimPercentile(Loss_B,B28)</f>
        <v>23.209774859388432</v>
      </c>
      <c r="F28" s="57">
        <f t="shared" ref="F28:F33" ca="1" si="0">IF(AND(ISNUMBER(D28),ISNUMBER(E28),D28&lt;&gt;0),E28/D28-1,"–")</f>
        <v>-0.22093174943347238</v>
      </c>
      <c r="G28" s="28"/>
    </row>
    <row r="29" spans="2:7" x14ac:dyDescent="0.45">
      <c r="B29" s="62">
        <v>0.95</v>
      </c>
      <c r="C29" s="28"/>
      <c r="D29" s="56" cm="1">
        <f t="array" aca="1" ref="D29" ca="1">_xll.VoseSimPercentile(Loss_A,B29)</f>
        <v>45.7547827082645</v>
      </c>
      <c r="E29" s="56" cm="1">
        <f t="array" aca="1" ref="E29" ca="1">_xll.VoseSimPercentile(Loss_B,B29)</f>
        <v>42.122784302836493</v>
      </c>
      <c r="F29" s="57">
        <f t="shared" ca="1" si="0"/>
        <v>-7.9379644934298277E-2</v>
      </c>
      <c r="G29" s="28"/>
    </row>
    <row r="30" spans="2:7" x14ac:dyDescent="0.45">
      <c r="B30" s="63">
        <v>0.97499999999999998</v>
      </c>
      <c r="C30" s="28"/>
      <c r="D30" s="56" cm="1">
        <f t="array" aca="1" ref="D30" ca="1">_xll.VoseSimPercentile(Loss_A,B30)</f>
        <v>60.642883092945794</v>
      </c>
      <c r="E30" s="56" cm="1">
        <f t="array" aca="1" ref="E30" ca="1">_xll.VoseSimPercentile(Loss_B,B30)</f>
        <v>61.360948910373175</v>
      </c>
      <c r="F30" s="57">
        <f t="shared" ca="1" si="0"/>
        <v>1.1840891804679288E-2</v>
      </c>
      <c r="G30" s="28"/>
    </row>
    <row r="31" spans="2:7" x14ac:dyDescent="0.45">
      <c r="B31" s="62">
        <v>0.99</v>
      </c>
      <c r="C31" s="28"/>
      <c r="D31" s="56" cm="1">
        <f t="array" aca="1" ref="D31" ca="1">_xll.VoseSimPercentile(Loss_A,B31)</f>
        <v>79.034027449994525</v>
      </c>
      <c r="E31" s="56" cm="1">
        <f t="array" aca="1" ref="E31" ca="1">_xll.VoseSimPercentile(Loss_B,B31)</f>
        <v>88.645579816440687</v>
      </c>
      <c r="F31" s="57">
        <f t="shared" ca="1" si="0"/>
        <v>0.12161283786945409</v>
      </c>
      <c r="G31" s="28"/>
    </row>
    <row r="32" spans="2:7" x14ac:dyDescent="0.45">
      <c r="B32" s="63">
        <v>0.995</v>
      </c>
      <c r="C32" s="28"/>
      <c r="D32" s="56" cm="1">
        <f t="array" aca="1" ref="D32" ca="1">_xll.VoseSimPercentile(Loss_A,B32)</f>
        <v>90.102427052148343</v>
      </c>
      <c r="E32" s="56" cm="1">
        <f t="array" aca="1" ref="E32" ca="1">_xll.VoseSimPercentile(Loss_B,B32)</f>
        <v>110.24808195506036</v>
      </c>
      <c r="F32" s="57">
        <f t="shared" ca="1" si="0"/>
        <v>0.22358615147239447</v>
      </c>
      <c r="G32" s="28"/>
    </row>
    <row r="33" spans="2:18" x14ac:dyDescent="0.45">
      <c r="B33" s="63">
        <v>0.999</v>
      </c>
      <c r="C33" s="28"/>
      <c r="D33" s="56" cm="1">
        <f t="array" aca="1" ref="D33" ca="1">_xll.VoseSimPercentile(Loss_A,B33)</f>
        <v>122.12222891146064</v>
      </c>
      <c r="E33" s="56" cm="1">
        <f t="array" aca="1" ref="E33" ca="1">_xll.VoseSimPercentile(Loss_B,B33)</f>
        <v>165.64145554777747</v>
      </c>
      <c r="F33" s="57">
        <f t="shared" ca="1" si="0"/>
        <v>0.35635794584021663</v>
      </c>
      <c r="G33" s="28"/>
    </row>
    <row r="34" spans="2:18" ht="8" customHeight="1" x14ac:dyDescent="0.45"/>
    <row r="35" spans="2:18" x14ac:dyDescent="0.45">
      <c r="I35" s="53" t="s">
        <v>194</v>
      </c>
      <c r="J35" s="8"/>
      <c r="K35" s="8"/>
      <c r="L35" s="8"/>
      <c r="M35" s="8"/>
      <c r="N35" s="8"/>
      <c r="O35" s="8"/>
      <c r="P35" s="8"/>
      <c r="Q35" s="8"/>
      <c r="R35" s="8"/>
    </row>
    <row r="50" spans="2:18" ht="22.05" customHeight="1" x14ac:dyDescent="0.5">
      <c r="B50" s="7" t="s">
        <v>195</v>
      </c>
      <c r="C50" s="8"/>
      <c r="D50" s="8"/>
      <c r="E50" s="8"/>
      <c r="F50" s="8"/>
      <c r="G50" s="8"/>
      <c r="I50" s="53" t="s">
        <v>196</v>
      </c>
      <c r="J50" s="8"/>
      <c r="K50" s="8"/>
      <c r="L50" s="8"/>
      <c r="M50" s="8"/>
      <c r="N50" s="8"/>
      <c r="O50" s="8"/>
      <c r="P50" s="8"/>
      <c r="Q50" s="8"/>
      <c r="R50" s="8"/>
    </row>
    <row r="51" spans="2:18" ht="18" customHeight="1" x14ac:dyDescent="0.45">
      <c r="B51" s="13" t="s">
        <v>197</v>
      </c>
    </row>
    <row r="52" spans="2:18" ht="18" customHeight="1" x14ac:dyDescent="0.45">
      <c r="B52" s="23" t="s">
        <v>198</v>
      </c>
      <c r="C52" s="24" t="s">
        <v>199</v>
      </c>
      <c r="D52" s="24" t="s">
        <v>200</v>
      </c>
      <c r="E52" s="64" t="s">
        <v>201</v>
      </c>
      <c r="F52" s="5"/>
      <c r="G52" s="5"/>
    </row>
    <row r="53" spans="2:18" x14ac:dyDescent="0.45">
      <c r="B53" s="25" t="str">
        <f t="array" aca="1" ref="B53:E56" ca="1">_xll.VoseSimSensitivityMean(Loss_B,10,1,FALSE)</f>
        <v>Global equities return</v>
      </c>
      <c r="C53" s="56">
        <f ca="1"/>
        <v>-101.68811569223953</v>
      </c>
      <c r="D53" s="56">
        <f ca="1"/>
        <v>46.352719380895813</v>
      </c>
      <c r="E53" s="65">
        <f ca="1"/>
        <v>1</v>
      </c>
      <c r="F53" s="28"/>
      <c r="G53" s="28"/>
    </row>
    <row r="54" spans="2:18" x14ac:dyDescent="0.45">
      <c r="B54" s="25" t="str">
        <f ca="1"/>
        <v>Corporate bonds return</v>
      </c>
      <c r="C54" s="56">
        <f ca="1"/>
        <v>-91.122042113296189</v>
      </c>
      <c r="D54" s="56">
        <f ca="1"/>
        <v>35.990167491843287</v>
      </c>
      <c r="E54" s="65">
        <f ca="1"/>
        <v>2</v>
      </c>
      <c r="F54" s="28"/>
      <c r="G54" s="28"/>
    </row>
    <row r="55" spans="2:18" x14ac:dyDescent="0.45">
      <c r="B55" s="25" t="str">
        <f ca="1"/>
        <v>Listed real estate return</v>
      </c>
      <c r="C55" s="56">
        <f ca="1"/>
        <v>-91.415423920003448</v>
      </c>
      <c r="D55" s="56">
        <f ca="1"/>
        <v>33.516253789505143</v>
      </c>
      <c r="E55" s="65">
        <f ca="1"/>
        <v>3</v>
      </c>
      <c r="F55" s="28"/>
      <c r="G55" s="28"/>
    </row>
    <row r="56" spans="2:18" x14ac:dyDescent="0.45">
      <c r="B56" s="25" t="str">
        <f ca="1"/>
        <v>Government bonds return</v>
      </c>
      <c r="C56" s="56">
        <f ca="1"/>
        <v>-39.099828136911896</v>
      </c>
      <c r="D56" s="56">
        <f ca="1"/>
        <v>-16.713084555905123</v>
      </c>
      <c r="E56" s="65">
        <f ca="1"/>
        <v>4</v>
      </c>
      <c r="F56" s="28"/>
      <c r="G56" s="28"/>
    </row>
    <row r="64" spans="2:18" ht="22.05" customHeight="1" x14ac:dyDescent="0.5">
      <c r="B64" s="7" t="s">
        <v>202</v>
      </c>
      <c r="C64" s="8"/>
      <c r="D64" s="8"/>
      <c r="E64" s="8"/>
      <c r="F64" s="8"/>
      <c r="G64" s="8"/>
    </row>
    <row r="65" spans="2:7" ht="32" customHeight="1" x14ac:dyDescent="0.45">
      <c r="B65" s="75" t="s">
        <v>203</v>
      </c>
      <c r="C65" s="76"/>
      <c r="D65" s="76"/>
      <c r="E65" s="76"/>
      <c r="F65" s="76"/>
      <c r="G65" s="76"/>
    </row>
    <row r="66" spans="2:7" ht="45" customHeight="1" x14ac:dyDescent="0.45">
      <c r="B66" s="75" t="s">
        <v>204</v>
      </c>
      <c r="C66" s="76"/>
      <c r="D66" s="76"/>
      <c r="E66" s="76"/>
      <c r="F66" s="76"/>
      <c r="G66" s="76"/>
    </row>
    <row r="67" spans="2:7" ht="32" customHeight="1" x14ac:dyDescent="0.45">
      <c r="B67" s="75" t="s">
        <v>205</v>
      </c>
      <c r="C67" s="76"/>
      <c r="D67" s="76"/>
      <c r="E67" s="76"/>
      <c r="F67" s="76"/>
      <c r="G67" s="76"/>
    </row>
    <row r="68" spans="2:7" ht="32" customHeight="1" x14ac:dyDescent="0.45">
      <c r="B68" s="75" t="s">
        <v>206</v>
      </c>
      <c r="C68" s="76"/>
      <c r="D68" s="76"/>
      <c r="E68" s="76"/>
      <c r="F68" s="76"/>
      <c r="G68" s="76"/>
    </row>
    <row r="69" spans="2:7" ht="14" customHeight="1" x14ac:dyDescent="0.45"/>
    <row r="70" spans="2:7" ht="14" customHeight="1" x14ac:dyDescent="0.45"/>
    <row r="71" spans="2:7" ht="22.05" customHeight="1" x14ac:dyDescent="0.5">
      <c r="B71" s="7" t="s">
        <v>207</v>
      </c>
      <c r="C71" s="8"/>
      <c r="D71" s="8"/>
      <c r="E71" s="8"/>
      <c r="F71" s="8"/>
      <c r="G71" s="8"/>
    </row>
    <row r="72" spans="2:7" ht="18" customHeight="1" x14ac:dyDescent="0.45">
      <c r="B72" s="13" t="s">
        <v>208</v>
      </c>
    </row>
    <row r="73" spans="2:7" ht="28.05" hidden="1" customHeight="1" outlineLevel="1" x14ac:dyDescent="0.45">
      <c r="B73" s="24" t="s">
        <v>209</v>
      </c>
      <c r="C73" s="24" t="s">
        <v>210</v>
      </c>
      <c r="D73" s="24" t="s">
        <v>211</v>
      </c>
      <c r="E73" s="24" t="s">
        <v>212</v>
      </c>
      <c r="F73" s="5"/>
      <c r="G73" s="5"/>
    </row>
    <row r="74" spans="2:7" hidden="1" outlineLevel="1" x14ac:dyDescent="0.45">
      <c r="B74" s="66">
        <v>0.01</v>
      </c>
      <c r="C74" s="66">
        <f t="shared" ref="C74:C105" si="1">1-B74</f>
        <v>0.99</v>
      </c>
      <c r="D74" s="67" cm="1">
        <f t="array" aca="1" ref="D74" ca="1">IF(ISNUMBER(_xll.VoseSimPercentile(Loss_A,$B74)),_xll.VoseSimPercentile(Loss_A,$B74),NA())</f>
        <v>-130.53499165065963</v>
      </c>
      <c r="E74" s="67" cm="1">
        <f t="array" aca="1" ref="E74" ca="1">IF(ISNUMBER(_xll.VoseSimPercentile(Loss_B,$B74)),_xll.VoseSimPercentile(Loss_B,$B74),NA())</f>
        <v>-144.18261363283011</v>
      </c>
    </row>
    <row r="75" spans="2:7" hidden="1" outlineLevel="1" x14ac:dyDescent="0.45">
      <c r="B75" s="66">
        <v>0.03</v>
      </c>
      <c r="C75" s="66">
        <f t="shared" si="1"/>
        <v>0.97</v>
      </c>
      <c r="D75" s="67" cm="1">
        <f t="array" aca="1" ref="D75" ca="1">IF(ISNUMBER(_xll.VoseSimPercentile(Loss_A,$B75)),_xll.VoseSimPercentile(Loss_A,$B75),NA())</f>
        <v>-109.93654959082404</v>
      </c>
      <c r="E75" s="67" cm="1">
        <f t="array" aca="1" ref="E75" ca="1">IF(ISNUMBER(_xll.VoseSimPercentile(Loss_B,$B75)),_xll.VoseSimPercentile(Loss_B,$B75),NA())</f>
        <v>-111.35904712822982</v>
      </c>
    </row>
    <row r="76" spans="2:7" hidden="1" outlineLevel="1" x14ac:dyDescent="0.45">
      <c r="B76" s="66">
        <v>0.05</v>
      </c>
      <c r="C76" s="66">
        <f t="shared" si="1"/>
        <v>0.95</v>
      </c>
      <c r="D76" s="67" cm="1">
        <f t="array" aca="1" ref="D76" ca="1">IF(ISNUMBER(_xll.VoseSimPercentile(Loss_A,$B76)),_xll.VoseSimPercentile(Loss_A,$B76),NA())</f>
        <v>-99.353853227756616</v>
      </c>
      <c r="E76" s="67" cm="1">
        <f t="array" aca="1" ref="E76" ca="1">IF(ISNUMBER(_xll.VoseSimPercentile(Loss_B,$B76)),_xll.VoseSimPercentile(Loss_B,$B76),NA())</f>
        <v>-98.575211645705423</v>
      </c>
    </row>
    <row r="77" spans="2:7" hidden="1" outlineLevel="1" x14ac:dyDescent="0.45">
      <c r="B77" s="66">
        <v>7.0000000000000007E-2</v>
      </c>
      <c r="C77" s="66">
        <f t="shared" si="1"/>
        <v>0.92999999999999994</v>
      </c>
      <c r="D77" s="67" cm="1">
        <f t="array" aca="1" ref="D77" ca="1">IF(ISNUMBER(_xll.VoseSimPercentile(Loss_A,$B77)),_xll.VoseSimPercentile(Loss_A,$B77),NA())</f>
        <v>-92.13801738205099</v>
      </c>
      <c r="E77" s="67" cm="1">
        <f t="array" aca="1" ref="E77" ca="1">IF(ISNUMBER(_xll.VoseSimPercentile(Loss_B,$B77)),_xll.VoseSimPercentile(Loss_B,$B77),NA())</f>
        <v>-89.976863950130706</v>
      </c>
    </row>
    <row r="78" spans="2:7" hidden="1" outlineLevel="1" x14ac:dyDescent="0.45">
      <c r="B78" s="66">
        <v>0.09</v>
      </c>
      <c r="C78" s="66">
        <f t="shared" si="1"/>
        <v>0.91</v>
      </c>
      <c r="D78" s="67" cm="1">
        <f t="array" aca="1" ref="D78" ca="1">IF(ISNUMBER(_xll.VoseSimPercentile(Loss_A,$B78)),_xll.VoseSimPercentile(Loss_A,$B78),NA())</f>
        <v>-86.550878428745932</v>
      </c>
      <c r="E78" s="67" cm="1">
        <f t="array" aca="1" ref="E78" ca="1">IF(ISNUMBER(_xll.VoseSimPercentile(Loss_B,$B78)),_xll.VoseSimPercentile(Loss_B,$B78),NA())</f>
        <v>-81.528681365314284</v>
      </c>
    </row>
    <row r="79" spans="2:7" hidden="1" outlineLevel="1" x14ac:dyDescent="0.45">
      <c r="B79" s="66">
        <v>0.11</v>
      </c>
      <c r="C79" s="66">
        <f t="shared" si="1"/>
        <v>0.89</v>
      </c>
      <c r="D79" s="67" cm="1">
        <f t="array" aca="1" ref="D79" ca="1">IF(ISNUMBER(_xll.VoseSimPercentile(Loss_A,$B79)),_xll.VoseSimPercentile(Loss_A,$B79),NA())</f>
        <v>-81.81479134596448</v>
      </c>
      <c r="E79" s="67" cm="1">
        <f t="array" aca="1" ref="E79" ca="1">IF(ISNUMBER(_xll.VoseSimPercentile(Loss_B,$B79)),_xll.VoseSimPercentile(Loss_B,$B79),NA())</f>
        <v>-75.165096462262966</v>
      </c>
    </row>
    <row r="80" spans="2:7" hidden="1" outlineLevel="1" x14ac:dyDescent="0.45">
      <c r="B80" s="66">
        <v>0.13</v>
      </c>
      <c r="C80" s="66">
        <f t="shared" si="1"/>
        <v>0.87</v>
      </c>
      <c r="D80" s="67" cm="1">
        <f t="array" aca="1" ref="D80" ca="1">IF(ISNUMBER(_xll.VoseSimPercentile(Loss_A,$B80)),_xll.VoseSimPercentile(Loss_A,$B80),NA())</f>
        <v>-76.877471234903851</v>
      </c>
      <c r="E80" s="67" cm="1">
        <f t="array" aca="1" ref="E80" ca="1">IF(ISNUMBER(_xll.VoseSimPercentile(Loss_B,$B80)),_xll.VoseSimPercentile(Loss_B,$B80),NA())</f>
        <v>-70.675523546692375</v>
      </c>
    </row>
    <row r="81" spans="2:5" hidden="1" outlineLevel="1" x14ac:dyDescent="0.45">
      <c r="B81" s="66">
        <v>0.15</v>
      </c>
      <c r="C81" s="66">
        <f t="shared" si="1"/>
        <v>0.85</v>
      </c>
      <c r="D81" s="67" cm="1">
        <f t="array" aca="1" ref="D81" ca="1">IF(ISNUMBER(_xll.VoseSimPercentile(Loss_A,$B81)),_xll.VoseSimPercentile(Loss_A,$B81),NA())</f>
        <v>-73.102397957030618</v>
      </c>
      <c r="E81" s="67" cm="1">
        <f t="array" aca="1" ref="E81" ca="1">IF(ISNUMBER(_xll.VoseSimPercentile(Loss_B,$B81)),_xll.VoseSimPercentile(Loss_B,$B81),NA())</f>
        <v>-66.51220805888677</v>
      </c>
    </row>
    <row r="82" spans="2:5" hidden="1" outlineLevel="1" x14ac:dyDescent="0.45">
      <c r="B82" s="66">
        <v>0.17</v>
      </c>
      <c r="C82" s="66">
        <f t="shared" si="1"/>
        <v>0.83</v>
      </c>
      <c r="D82" s="67" cm="1">
        <f t="array" aca="1" ref="D82" ca="1">IF(ISNUMBER(_xll.VoseSimPercentile(Loss_A,$B82)),_xll.VoseSimPercentile(Loss_A,$B82),NA())</f>
        <v>-69.207681643918917</v>
      </c>
      <c r="E82" s="67" cm="1">
        <f t="array" aca="1" ref="E82" ca="1">IF(ISNUMBER(_xll.VoseSimPercentile(Loss_B,$B82)),_xll.VoseSimPercentile(Loss_B,$B82),NA())</f>
        <v>-62.633013619991395</v>
      </c>
    </row>
    <row r="83" spans="2:5" hidden="1" outlineLevel="1" x14ac:dyDescent="0.45">
      <c r="B83" s="66">
        <v>0.19</v>
      </c>
      <c r="C83" s="66">
        <f t="shared" si="1"/>
        <v>0.81</v>
      </c>
      <c r="D83" s="67" cm="1">
        <f t="array" aca="1" ref="D83" ca="1">IF(ISNUMBER(_xll.VoseSimPercentile(Loss_A,$B83)),_xll.VoseSimPercentile(Loss_A,$B83),NA())</f>
        <v>-66.066139385025409</v>
      </c>
      <c r="E83" s="67" cm="1">
        <f t="array" aca="1" ref="E83" ca="1">IF(ISNUMBER(_xll.VoseSimPercentile(Loss_B,$B83)),_xll.VoseSimPercentile(Loss_B,$B83),NA())</f>
        <v>-59.488110205676897</v>
      </c>
    </row>
    <row r="84" spans="2:5" hidden="1" outlineLevel="1" x14ac:dyDescent="0.45">
      <c r="B84" s="66">
        <v>0.21</v>
      </c>
      <c r="C84" s="66">
        <f t="shared" si="1"/>
        <v>0.79</v>
      </c>
      <c r="D84" s="67" cm="1">
        <f t="array" aca="1" ref="D84" ca="1">IF(ISNUMBER(_xll.VoseSimPercentile(Loss_A,$B84)),_xll.VoseSimPercentile(Loss_A,$B84),NA())</f>
        <v>-62.793184482408279</v>
      </c>
      <c r="E84" s="67" cm="1">
        <f t="array" aca="1" ref="E84" ca="1">IF(ISNUMBER(_xll.VoseSimPercentile(Loss_B,$B84)),_xll.VoseSimPercentile(Loss_B,$B84),NA())</f>
        <v>-56.737264124451549</v>
      </c>
    </row>
    <row r="85" spans="2:5" hidden="1" outlineLevel="1" x14ac:dyDescent="0.45">
      <c r="B85" s="66">
        <v>0.23</v>
      </c>
      <c r="C85" s="66">
        <f t="shared" si="1"/>
        <v>0.77</v>
      </c>
      <c r="D85" s="67" cm="1">
        <f t="array" aca="1" ref="D85" ca="1">IF(ISNUMBER(_xll.VoseSimPercentile(Loss_A,$B85)),_xll.VoseSimPercentile(Loss_A,$B85),NA())</f>
        <v>-60.016305487925976</v>
      </c>
      <c r="E85" s="67" cm="1">
        <f t="array" aca="1" ref="E85" ca="1">IF(ISNUMBER(_xll.VoseSimPercentile(Loss_B,$B85)),_xll.VoseSimPercentile(Loss_B,$B85),NA())</f>
        <v>-54.231783765267529</v>
      </c>
    </row>
    <row r="86" spans="2:5" hidden="1" outlineLevel="1" x14ac:dyDescent="0.45">
      <c r="B86" s="66">
        <v>0.25</v>
      </c>
      <c r="C86" s="66">
        <f t="shared" si="1"/>
        <v>0.75</v>
      </c>
      <c r="D86" s="67" cm="1">
        <f t="array" aca="1" ref="D86" ca="1">IF(ISNUMBER(_xll.VoseSimPercentile(Loss_A,$B86)),_xll.VoseSimPercentile(Loss_A,$B86),NA())</f>
        <v>-57.240681844619743</v>
      </c>
      <c r="E86" s="67" cm="1">
        <f t="array" aca="1" ref="E86" ca="1">IF(ISNUMBER(_xll.VoseSimPercentile(Loss_B,$B86)),_xll.VoseSimPercentile(Loss_B,$B86),NA())</f>
        <v>-51.69906282865189</v>
      </c>
    </row>
    <row r="87" spans="2:5" hidden="1" outlineLevel="1" x14ac:dyDescent="0.45">
      <c r="B87" s="66">
        <v>0.27</v>
      </c>
      <c r="C87" s="66">
        <f t="shared" si="1"/>
        <v>0.73</v>
      </c>
      <c r="D87" s="67" cm="1">
        <f t="array" aca="1" ref="D87" ca="1">IF(ISNUMBER(_xll.VoseSimPercentile(Loss_A,$B87)),_xll.VoseSimPercentile(Loss_A,$B87),NA())</f>
        <v>-54.444406446595494</v>
      </c>
      <c r="E87" s="67" cm="1">
        <f t="array" aca="1" ref="E87" ca="1">IF(ISNUMBER(_xll.VoseSimPercentile(Loss_B,$B87)),_xll.VoseSimPercentile(Loss_B,$B87),NA())</f>
        <v>-49.279001553660578</v>
      </c>
    </row>
    <row r="88" spans="2:5" hidden="1" outlineLevel="1" x14ac:dyDescent="0.45">
      <c r="B88" s="66">
        <v>0.28999999999999998</v>
      </c>
      <c r="C88" s="66">
        <f t="shared" si="1"/>
        <v>0.71</v>
      </c>
      <c r="D88" s="67" cm="1">
        <f t="array" aca="1" ref="D88" ca="1">IF(ISNUMBER(_xll.VoseSimPercentile(Loss_A,$B88)),_xll.VoseSimPercentile(Loss_A,$B88),NA())</f>
        <v>-51.975772545562954</v>
      </c>
      <c r="E88" s="67" cm="1">
        <f t="array" aca="1" ref="E88" ca="1">IF(ISNUMBER(_xll.VoseSimPercentile(Loss_B,$B88)),_xll.VoseSimPercentile(Loss_B,$B88),NA())</f>
        <v>-47.376276090324986</v>
      </c>
    </row>
    <row r="89" spans="2:5" hidden="1" outlineLevel="1" x14ac:dyDescent="0.45">
      <c r="B89" s="66">
        <v>0.31</v>
      </c>
      <c r="C89" s="66">
        <f t="shared" si="1"/>
        <v>0.69</v>
      </c>
      <c r="D89" s="67" cm="1">
        <f t="array" aca="1" ref="D89" ca="1">IF(ISNUMBER(_xll.VoseSimPercentile(Loss_A,$B89)),_xll.VoseSimPercentile(Loss_A,$B89),NA())</f>
        <v>-49.435419829813689</v>
      </c>
      <c r="E89" s="67" cm="1">
        <f t="array" aca="1" ref="E89" ca="1">IF(ISNUMBER(_xll.VoseSimPercentile(Loss_B,$B89)),_xll.VoseSimPercentile(Loss_B,$B89),NA())</f>
        <v>-45.166358678138153</v>
      </c>
    </row>
    <row r="90" spans="2:5" hidden="1" outlineLevel="1" x14ac:dyDescent="0.45">
      <c r="B90" s="66">
        <v>0.33</v>
      </c>
      <c r="C90" s="66">
        <f t="shared" si="1"/>
        <v>0.66999999999999993</v>
      </c>
      <c r="D90" s="67" cm="1">
        <f t="array" aca="1" ref="D90" ca="1">IF(ISNUMBER(_xll.VoseSimPercentile(Loss_A,$B90)),_xll.VoseSimPercentile(Loss_A,$B90),NA())</f>
        <v>-47.072390872509018</v>
      </c>
      <c r="E90" s="67" cm="1">
        <f t="array" aca="1" ref="E90" ca="1">IF(ISNUMBER(_xll.VoseSimPercentile(Loss_B,$B90)),_xll.VoseSimPercentile(Loss_B,$B90),NA())</f>
        <v>-42.995137856702875</v>
      </c>
    </row>
    <row r="91" spans="2:5" hidden="1" outlineLevel="1" x14ac:dyDescent="0.45">
      <c r="B91" s="66">
        <v>0.35</v>
      </c>
      <c r="C91" s="66">
        <f t="shared" si="1"/>
        <v>0.65</v>
      </c>
      <c r="D91" s="67" cm="1">
        <f t="array" aca="1" ref="D91" ca="1">IF(ISNUMBER(_xll.VoseSimPercentile(Loss_A,$B91)),_xll.VoseSimPercentile(Loss_A,$B91),NA())</f>
        <v>-44.733913667212683</v>
      </c>
      <c r="E91" s="67" cm="1">
        <f t="array" aca="1" ref="E91" ca="1">IF(ISNUMBER(_xll.VoseSimPercentile(Loss_B,$B91)),_xll.VoseSimPercentile(Loss_B,$B91),NA())</f>
        <v>-40.893755251785358</v>
      </c>
    </row>
    <row r="92" spans="2:5" hidden="1" outlineLevel="1" x14ac:dyDescent="0.45">
      <c r="B92" s="66">
        <v>0.37</v>
      </c>
      <c r="C92" s="66">
        <f t="shared" si="1"/>
        <v>0.63</v>
      </c>
      <c r="D92" s="67" cm="1">
        <f t="array" aca="1" ref="D92" ca="1">IF(ISNUMBER(_xll.VoseSimPercentile(Loss_A,$B92)),_xll.VoseSimPercentile(Loss_A,$B92),NA())</f>
        <v>-42.192997952010828</v>
      </c>
      <c r="E92" s="67" cm="1">
        <f t="array" aca="1" ref="E92" ca="1">IF(ISNUMBER(_xll.VoseSimPercentile(Loss_B,$B92)),_xll.VoseSimPercentile(Loss_B,$B92),NA())</f>
        <v>-38.858327951875907</v>
      </c>
    </row>
    <row r="93" spans="2:5" hidden="1" outlineLevel="1" x14ac:dyDescent="0.45">
      <c r="B93" s="66">
        <v>0.39</v>
      </c>
      <c r="C93" s="66">
        <f t="shared" si="1"/>
        <v>0.61</v>
      </c>
      <c r="D93" s="67" cm="1">
        <f t="array" aca="1" ref="D93" ca="1">IF(ISNUMBER(_xll.VoseSimPercentile(Loss_A,$B93)),_xll.VoseSimPercentile(Loss_A,$B93),NA())</f>
        <v>-39.682514107114365</v>
      </c>
      <c r="E93" s="67" cm="1">
        <f t="array" aca="1" ref="E93" ca="1">IF(ISNUMBER(_xll.VoseSimPercentile(Loss_B,$B93)),_xll.VoseSimPercentile(Loss_B,$B93),NA())</f>
        <v>-36.789174865234862</v>
      </c>
    </row>
    <row r="94" spans="2:5" hidden="1" outlineLevel="1" x14ac:dyDescent="0.45">
      <c r="B94" s="66">
        <v>0.41</v>
      </c>
      <c r="C94" s="66">
        <f t="shared" si="1"/>
        <v>0.59000000000000008</v>
      </c>
      <c r="D94" s="67" cm="1">
        <f t="array" aca="1" ref="D94" ca="1">IF(ISNUMBER(_xll.VoseSimPercentile(Loss_A,$B94)),_xll.VoseSimPercentile(Loss_A,$B94),NA())</f>
        <v>-37.541703527151618</v>
      </c>
      <c r="E94" s="67" cm="1">
        <f t="array" aca="1" ref="E94" ca="1">IF(ISNUMBER(_xll.VoseSimPercentile(Loss_B,$B94)),_xll.VoseSimPercentile(Loss_B,$B94),NA())</f>
        <v>-34.935860226851247</v>
      </c>
    </row>
    <row r="95" spans="2:5" hidden="1" outlineLevel="1" x14ac:dyDescent="0.45">
      <c r="B95" s="66">
        <v>0.43</v>
      </c>
      <c r="C95" s="66">
        <f t="shared" si="1"/>
        <v>0.57000000000000006</v>
      </c>
      <c r="D95" s="67" cm="1">
        <f t="array" aca="1" ref="D95" ca="1">IF(ISNUMBER(_xll.VoseSimPercentile(Loss_A,$B95)),_xll.VoseSimPercentile(Loss_A,$B95),NA())</f>
        <v>-35.414707412286774</v>
      </c>
      <c r="E95" s="67" cm="1">
        <f t="array" aca="1" ref="E95" ca="1">IF(ISNUMBER(_xll.VoseSimPercentile(Loss_B,$B95)),_xll.VoseSimPercentile(Loss_B,$B95),NA())</f>
        <v>-33.080740132075391</v>
      </c>
    </row>
    <row r="96" spans="2:5" hidden="1" outlineLevel="1" x14ac:dyDescent="0.45">
      <c r="B96" s="66">
        <v>0.45</v>
      </c>
      <c r="C96" s="66">
        <f t="shared" si="1"/>
        <v>0.55000000000000004</v>
      </c>
      <c r="D96" s="67" cm="1">
        <f t="array" aca="1" ref="D96" ca="1">IF(ISNUMBER(_xll.VoseSimPercentile(Loss_A,$B96)),_xll.VoseSimPercentile(Loss_A,$B96),NA())</f>
        <v>-33.012524230925656</v>
      </c>
      <c r="E96" s="67" cm="1">
        <f t="array" aca="1" ref="E96" ca="1">IF(ISNUMBER(_xll.VoseSimPercentile(Loss_B,$B96)),_xll.VoseSimPercentile(Loss_B,$B96),NA())</f>
        <v>-31.240354358753773</v>
      </c>
    </row>
    <row r="97" spans="2:5" hidden="1" outlineLevel="1" x14ac:dyDescent="0.45">
      <c r="B97" s="66">
        <v>0.47</v>
      </c>
      <c r="C97" s="66">
        <f t="shared" si="1"/>
        <v>0.53</v>
      </c>
      <c r="D97" s="67" cm="1">
        <f t="array" aca="1" ref="D97" ca="1">IF(ISNUMBER(_xll.VoseSimPercentile(Loss_A,$B97)),_xll.VoseSimPercentile(Loss_A,$B97),NA())</f>
        <v>-30.825249710026981</v>
      </c>
      <c r="E97" s="67" cm="1">
        <f t="array" aca="1" ref="E97" ca="1">IF(ISNUMBER(_xll.VoseSimPercentile(Loss_B,$B97)),_xll.VoseSimPercentile(Loss_B,$B97),NA())</f>
        <v>-29.486494074582065</v>
      </c>
    </row>
    <row r="98" spans="2:5" hidden="1" outlineLevel="1" x14ac:dyDescent="0.45">
      <c r="B98" s="66">
        <v>0.49</v>
      </c>
      <c r="C98" s="66">
        <f t="shared" si="1"/>
        <v>0.51</v>
      </c>
      <c r="D98" s="67" cm="1">
        <f t="array" aca="1" ref="D98" ca="1">IF(ISNUMBER(_xll.VoseSimPercentile(Loss_A,$B98)),_xll.VoseSimPercentile(Loss_A,$B98),NA())</f>
        <v>-28.778375769755563</v>
      </c>
      <c r="E98" s="67" cm="1">
        <f t="array" aca="1" ref="E98" ca="1">IF(ISNUMBER(_xll.VoseSimPercentile(Loss_B,$B98)),_xll.VoseSimPercentile(Loss_B,$B98),NA())</f>
        <v>-27.727103826415544</v>
      </c>
    </row>
    <row r="99" spans="2:5" hidden="1" outlineLevel="1" x14ac:dyDescent="0.45">
      <c r="B99" s="66">
        <v>0.51</v>
      </c>
      <c r="C99" s="66">
        <f t="shared" si="1"/>
        <v>0.49</v>
      </c>
      <c r="D99" s="67" cm="1">
        <f t="array" aca="1" ref="D99" ca="1">IF(ISNUMBER(_xll.VoseSimPercentile(Loss_A,$B99)),_xll.VoseSimPercentile(Loss_A,$B99),NA())</f>
        <v>-26.970673251478022</v>
      </c>
      <c r="E99" s="67" cm="1">
        <f t="array" aca="1" ref="E99" ca="1">IF(ISNUMBER(_xll.VoseSimPercentile(Loss_B,$B99)),_xll.VoseSimPercentile(Loss_B,$B99),NA())</f>
        <v>-26.021618290744065</v>
      </c>
    </row>
    <row r="100" spans="2:5" hidden="1" outlineLevel="1" x14ac:dyDescent="0.45">
      <c r="B100" s="66">
        <v>0.53</v>
      </c>
      <c r="C100" s="66">
        <f t="shared" si="1"/>
        <v>0.47</v>
      </c>
      <c r="D100" s="67" cm="1">
        <f t="array" aca="1" ref="D100" ca="1">IF(ISNUMBER(_xll.VoseSimPercentile(Loss_A,$B100)),_xll.VoseSimPercentile(Loss_A,$B100),NA())</f>
        <v>-24.797486606890121</v>
      </c>
      <c r="E100" s="67" cm="1">
        <f t="array" aca="1" ref="E100" ca="1">IF(ISNUMBER(_xll.VoseSimPercentile(Loss_B,$B100)),_xll.VoseSimPercentile(Loss_B,$B100),NA())</f>
        <v>-24.20985563771244</v>
      </c>
    </row>
    <row r="101" spans="2:5" hidden="1" outlineLevel="1" x14ac:dyDescent="0.45">
      <c r="B101" s="66">
        <v>0.55000000000000004</v>
      </c>
      <c r="C101" s="66">
        <f t="shared" si="1"/>
        <v>0.44999999999999996</v>
      </c>
      <c r="D101" s="67" cm="1">
        <f t="array" aca="1" ref="D101" ca="1">IF(ISNUMBER(_xll.VoseSimPercentile(Loss_A,$B101)),_xll.VoseSimPercentile(Loss_A,$B101),NA())</f>
        <v>-22.765242035080576</v>
      </c>
      <c r="E101" s="67" cm="1">
        <f t="array" aca="1" ref="E101" ca="1">IF(ISNUMBER(_xll.VoseSimPercentile(Loss_B,$B101)),_xll.VoseSimPercentile(Loss_B,$B101),NA())</f>
        <v>-22.627847002566579</v>
      </c>
    </row>
    <row r="102" spans="2:5" hidden="1" outlineLevel="1" x14ac:dyDescent="0.45">
      <c r="B102" s="66">
        <v>0.56999999999999995</v>
      </c>
      <c r="C102" s="66">
        <f t="shared" si="1"/>
        <v>0.43000000000000005</v>
      </c>
      <c r="D102" s="67" cm="1">
        <f t="array" aca="1" ref="D102" ca="1">IF(ISNUMBER(_xll.VoseSimPercentile(Loss_A,$B102)),_xll.VoseSimPercentile(Loss_A,$B102),NA())</f>
        <v>-20.301354135441549</v>
      </c>
      <c r="E102" s="67" cm="1">
        <f t="array" aca="1" ref="E102" ca="1">IF(ISNUMBER(_xll.VoseSimPercentile(Loss_B,$B102)),_xll.VoseSimPercentile(Loss_B,$B102),NA())</f>
        <v>-20.748851656918003</v>
      </c>
    </row>
    <row r="103" spans="2:5" hidden="1" outlineLevel="1" x14ac:dyDescent="0.45">
      <c r="B103" s="66">
        <v>0.59</v>
      </c>
      <c r="C103" s="66">
        <f t="shared" si="1"/>
        <v>0.41000000000000003</v>
      </c>
      <c r="D103" s="67" cm="1">
        <f t="array" aca="1" ref="D103" ca="1">IF(ISNUMBER(_xll.VoseSimPercentile(Loss_A,$B103)),_xll.VoseSimPercentile(Loss_A,$B103),NA())</f>
        <v>-17.794644571049879</v>
      </c>
      <c r="E103" s="67" cm="1">
        <f t="array" aca="1" ref="E103" ca="1">IF(ISNUMBER(_xll.VoseSimPercentile(Loss_B,$B103)),_xll.VoseSimPercentile(Loss_B,$B103),NA())</f>
        <v>-18.788199177973961</v>
      </c>
    </row>
    <row r="104" spans="2:5" hidden="1" outlineLevel="1" x14ac:dyDescent="0.45">
      <c r="B104" s="66">
        <v>0.61</v>
      </c>
      <c r="C104" s="66">
        <f t="shared" si="1"/>
        <v>0.39</v>
      </c>
      <c r="D104" s="67" cm="1">
        <f t="array" aca="1" ref="D104" ca="1">IF(ISNUMBER(_xll.VoseSimPercentile(Loss_A,$B104)),_xll.VoseSimPercentile(Loss_A,$B104),NA())</f>
        <v>-15.559243849585121</v>
      </c>
      <c r="E104" s="67" cm="1">
        <f t="array" aca="1" ref="E104" ca="1">IF(ISNUMBER(_xll.VoseSimPercentile(Loss_B,$B104)),_xll.VoseSimPercentile(Loss_B,$B104),NA())</f>
        <v>-16.623277977129835</v>
      </c>
    </row>
    <row r="105" spans="2:5" hidden="1" outlineLevel="1" x14ac:dyDescent="0.45">
      <c r="B105" s="66">
        <v>0.63</v>
      </c>
      <c r="C105" s="66">
        <f t="shared" si="1"/>
        <v>0.37</v>
      </c>
      <c r="D105" s="67" cm="1">
        <f t="array" aca="1" ref="D105" ca="1">IF(ISNUMBER(_xll.VoseSimPercentile(Loss_A,$B105)),_xll.VoseSimPercentile(Loss_A,$B105),NA())</f>
        <v>-12.956400941114802</v>
      </c>
      <c r="E105" s="67" cm="1">
        <f t="array" aca="1" ref="E105" ca="1">IF(ISNUMBER(_xll.VoseSimPercentile(Loss_B,$B105)),_xll.VoseSimPercentile(Loss_B,$B105),NA())</f>
        <v>-14.756204980720291</v>
      </c>
    </row>
    <row r="106" spans="2:5" hidden="1" outlineLevel="1" x14ac:dyDescent="0.45">
      <c r="B106" s="66">
        <v>0.65</v>
      </c>
      <c r="C106" s="66">
        <f t="shared" ref="C106:C137" si="2">1-B106</f>
        <v>0.35</v>
      </c>
      <c r="D106" s="67" cm="1">
        <f t="array" aca="1" ref="D106" ca="1">IF(ISNUMBER(_xll.VoseSimPercentile(Loss_A,$B106)),_xll.VoseSimPercentile(Loss_A,$B106),NA())</f>
        <v>-10.555161767714742</v>
      </c>
      <c r="E106" s="67" cm="1">
        <f t="array" aca="1" ref="E106" ca="1">IF(ISNUMBER(_xll.VoseSimPercentile(Loss_B,$B106)),_xll.VoseSimPercentile(Loss_B,$B106),NA())</f>
        <v>-12.829336828970821</v>
      </c>
    </row>
    <row r="107" spans="2:5" hidden="1" outlineLevel="1" x14ac:dyDescent="0.45">
      <c r="B107" s="66">
        <v>0.67</v>
      </c>
      <c r="C107" s="66">
        <f t="shared" si="2"/>
        <v>0.32999999999999996</v>
      </c>
      <c r="D107" s="67" cm="1">
        <f t="array" aca="1" ref="D107" ca="1">IF(ISNUMBER(_xll.VoseSimPercentile(Loss_A,$B107)),_xll.VoseSimPercentile(Loss_A,$B107),NA())</f>
        <v>-7.9912575527328435</v>
      </c>
      <c r="E107" s="67" cm="1">
        <f t="array" aca="1" ref="E107" ca="1">IF(ISNUMBER(_xll.VoseSimPercentile(Loss_B,$B107)),_xll.VoseSimPercentile(Loss_B,$B107),NA())</f>
        <v>-10.747345445727031</v>
      </c>
    </row>
    <row r="108" spans="2:5" hidden="1" outlineLevel="1" x14ac:dyDescent="0.45">
      <c r="B108" s="66">
        <v>0.69</v>
      </c>
      <c r="C108" s="66">
        <f t="shared" si="2"/>
        <v>0.31000000000000005</v>
      </c>
      <c r="D108" s="67" cm="1">
        <f t="array" aca="1" ref="D108" ca="1">IF(ISNUMBER(_xll.VoseSimPercentile(Loss_A,$B108)),_xll.VoseSimPercentile(Loss_A,$B108),NA())</f>
        <v>-5.1807942532671039</v>
      </c>
      <c r="E108" s="67" cm="1">
        <f t="array" aca="1" ref="E108" ca="1">IF(ISNUMBER(_xll.VoseSimPercentile(Loss_B,$B108)),_xll.VoseSimPercentile(Loss_B,$B108),NA())</f>
        <v>-8.7677856403374825</v>
      </c>
    </row>
    <row r="109" spans="2:5" hidden="1" outlineLevel="1" x14ac:dyDescent="0.45">
      <c r="B109" s="66">
        <v>0.71</v>
      </c>
      <c r="C109" s="66">
        <f t="shared" si="2"/>
        <v>0.29000000000000004</v>
      </c>
      <c r="D109" s="67" cm="1">
        <f t="array" aca="1" ref="D109" ca="1">IF(ISNUMBER(_xll.VoseSimPercentile(Loss_A,$B109)),_xll.VoseSimPercentile(Loss_A,$B109),NA())</f>
        <v>-2.179055446617808</v>
      </c>
      <c r="E109" s="67" cm="1">
        <f t="array" aca="1" ref="E109" ca="1">IF(ISNUMBER(_xll.VoseSimPercentile(Loss_B,$B109)),_xll.VoseSimPercentile(Loss_B,$B109),NA())</f>
        <v>-6.5661292490144296</v>
      </c>
    </row>
    <row r="110" spans="2:5" hidden="1" outlineLevel="1" x14ac:dyDescent="0.45">
      <c r="B110" s="66">
        <v>0.73</v>
      </c>
      <c r="C110" s="66">
        <f t="shared" si="2"/>
        <v>0.27</v>
      </c>
      <c r="D110" s="67" cm="1">
        <f t="array" aca="1" ref="D110" ca="1">IF(ISNUMBER(_xll.VoseSimPercentile(Loss_A,$B110)),_xll.VoseSimPercentile(Loss_A,$B110),NA())</f>
        <v>0.17271919548893136</v>
      </c>
      <c r="E110" s="67" cm="1">
        <f t="array" aca="1" ref="E110" ca="1">IF(ISNUMBER(_xll.VoseSimPercentile(Loss_B,$B110)),_xll.VoseSimPercentile(Loss_B,$B110),NA())</f>
        <v>-4.4048813783977359</v>
      </c>
    </row>
    <row r="111" spans="2:5" hidden="1" outlineLevel="1" x14ac:dyDescent="0.45">
      <c r="B111" s="66">
        <v>0.75</v>
      </c>
      <c r="C111" s="66">
        <f t="shared" si="2"/>
        <v>0.25</v>
      </c>
      <c r="D111" s="67" cm="1">
        <f t="array" aca="1" ref="D111" ca="1">IF(ISNUMBER(_xll.VoseSimPercentile(Loss_A,$B111)),_xll.VoseSimPercentile(Loss_A,$B111),NA())</f>
        <v>2.9282263595065974</v>
      </c>
      <c r="E111" s="67" cm="1">
        <f t="array" aca="1" ref="E111" ca="1">IF(ISNUMBER(_xll.VoseSimPercentile(Loss_B,$B111)),_xll.VoseSimPercentile(Loss_B,$B111),NA())</f>
        <v>-1.9916278928157685</v>
      </c>
    </row>
    <row r="112" spans="2:5" hidden="1" outlineLevel="1" x14ac:dyDescent="0.45">
      <c r="B112" s="66">
        <v>0.77</v>
      </c>
      <c r="C112" s="66">
        <f t="shared" si="2"/>
        <v>0.22999999999999998</v>
      </c>
      <c r="D112" s="67" cm="1">
        <f t="array" aca="1" ref="D112" ca="1">IF(ISNUMBER(_xll.VoseSimPercentile(Loss_A,$B112)),_xll.VoseSimPercentile(Loss_A,$B112),NA())</f>
        <v>5.7953983802808287</v>
      </c>
      <c r="E112" s="67" cm="1">
        <f t="array" aca="1" ref="E112" ca="1">IF(ISNUMBER(_xll.VoseSimPercentile(Loss_B,$B112)),_xll.VoseSimPercentile(Loss_B,$B112),NA())</f>
        <v>0.38447653882809707</v>
      </c>
    </row>
    <row r="113" spans="2:7" hidden="1" outlineLevel="1" x14ac:dyDescent="0.45">
      <c r="B113" s="66">
        <v>0.79</v>
      </c>
      <c r="C113" s="66">
        <f t="shared" si="2"/>
        <v>0.20999999999999996</v>
      </c>
      <c r="D113" s="67" cm="1">
        <f t="array" aca="1" ref="D113" ca="1">IF(ISNUMBER(_xll.VoseSimPercentile(Loss_A,$B113)),_xll.VoseSimPercentile(Loss_A,$B113),NA())</f>
        <v>8.7892772249790845</v>
      </c>
      <c r="E113" s="67" cm="1">
        <f t="array" aca="1" ref="E113" ca="1">IF(ISNUMBER(_xll.VoseSimPercentile(Loss_B,$B113)),_xll.VoseSimPercentile(Loss_B,$B113),NA())</f>
        <v>2.848902206853571</v>
      </c>
    </row>
    <row r="114" spans="2:7" hidden="1" outlineLevel="1" x14ac:dyDescent="0.45">
      <c r="B114" s="66">
        <v>0.81</v>
      </c>
      <c r="C114" s="66">
        <f t="shared" si="2"/>
        <v>0.18999999999999995</v>
      </c>
      <c r="D114" s="67" cm="1">
        <f t="array" aca="1" ref="D114" ca="1">IF(ISNUMBER(_xll.VoseSimPercentile(Loss_A,$B114)),_xll.VoseSimPercentile(Loss_A,$B114),NA())</f>
        <v>11.922174913234171</v>
      </c>
      <c r="E114" s="67" cm="1">
        <f t="array" aca="1" ref="E114" ca="1">IF(ISNUMBER(_xll.VoseSimPercentile(Loss_B,$B114)),_xll.VoseSimPercentile(Loss_B,$B114),NA())</f>
        <v>5.9304080287679986</v>
      </c>
    </row>
    <row r="115" spans="2:7" hidden="1" outlineLevel="1" x14ac:dyDescent="0.45">
      <c r="B115" s="66">
        <v>0.83</v>
      </c>
      <c r="C115" s="66">
        <f t="shared" si="2"/>
        <v>0.17000000000000004</v>
      </c>
      <c r="D115" s="67" cm="1">
        <f t="array" aca="1" ref="D115" ca="1">IF(ISNUMBER(_xll.VoseSimPercentile(Loss_A,$B115)),_xll.VoseSimPercentile(Loss_A,$B115),NA())</f>
        <v>15.228397378399629</v>
      </c>
      <c r="E115" s="67" cm="1">
        <f t="array" aca="1" ref="E115" ca="1">IF(ISNUMBER(_xll.VoseSimPercentile(Loss_B,$B115)),_xll.VoseSimPercentile(Loss_B,$B115),NA())</f>
        <v>9.1552664570602573</v>
      </c>
    </row>
    <row r="116" spans="2:7" hidden="1" outlineLevel="1" x14ac:dyDescent="0.45">
      <c r="B116" s="66">
        <v>0.85</v>
      </c>
      <c r="C116" s="66">
        <f t="shared" si="2"/>
        <v>0.15000000000000002</v>
      </c>
      <c r="D116" s="67" cm="1">
        <f t="array" aca="1" ref="D116" ca="1">IF(ISNUMBER(_xll.VoseSimPercentile(Loss_A,$B116)),_xll.VoseSimPercentile(Loss_A,$B116),NA())</f>
        <v>19.021934623264396</v>
      </c>
      <c r="E116" s="67" cm="1">
        <f t="array" aca="1" ref="E116" ca="1">IF(ISNUMBER(_xll.VoseSimPercentile(Loss_B,$B116)),_xll.VoseSimPercentile(Loss_B,$B116),NA())</f>
        <v>12.637939615293911</v>
      </c>
    </row>
    <row r="117" spans="2:7" hidden="1" outlineLevel="1" x14ac:dyDescent="0.45">
      <c r="B117" s="66">
        <v>0.87</v>
      </c>
      <c r="C117" s="66">
        <f t="shared" si="2"/>
        <v>0.13</v>
      </c>
      <c r="D117" s="67" cm="1">
        <f t="array" aca="1" ref="D117" ca="1">IF(ISNUMBER(_xll.VoseSimPercentile(Loss_A,$B117)),_xll.VoseSimPercentile(Loss_A,$B117),NA())</f>
        <v>23.091808113550037</v>
      </c>
      <c r="E117" s="67" cm="1">
        <f t="array" aca="1" ref="E117" ca="1">IF(ISNUMBER(_xll.VoseSimPercentile(Loss_B,$B117)),_xll.VoseSimPercentile(Loss_B,$B117),NA())</f>
        <v>16.675881695906828</v>
      </c>
    </row>
    <row r="118" spans="2:7" hidden="1" outlineLevel="1" x14ac:dyDescent="0.45">
      <c r="B118" s="66">
        <v>0.89</v>
      </c>
      <c r="C118" s="66">
        <f t="shared" si="2"/>
        <v>0.10999999999999999</v>
      </c>
      <c r="D118" s="67" cm="1">
        <f t="array" aca="1" ref="D118" ca="1">IF(ISNUMBER(_xll.VoseSimPercentile(Loss_A,$B118)),_xll.VoseSimPercentile(Loss_A,$B118),NA())</f>
        <v>27.136212716928178</v>
      </c>
      <c r="E118" s="67" cm="1">
        <f t="array" aca="1" ref="E118" ca="1">IF(ISNUMBER(_xll.VoseSimPercentile(Loss_B,$B118)),_xll.VoseSimPercentile(Loss_B,$B118),NA())</f>
        <v>20.815948126738522</v>
      </c>
    </row>
    <row r="119" spans="2:7" hidden="1" outlineLevel="1" x14ac:dyDescent="0.45">
      <c r="B119" s="66">
        <v>0.91</v>
      </c>
      <c r="C119" s="66">
        <f t="shared" si="2"/>
        <v>8.9999999999999969E-2</v>
      </c>
      <c r="D119" s="67" cm="1">
        <f t="array" aca="1" ref="D119" ca="1">IF(ISNUMBER(_xll.VoseSimPercentile(Loss_A,$B119)),_xll.VoseSimPercentile(Loss_A,$B119),NA())</f>
        <v>32.08929802659064</v>
      </c>
      <c r="E119" s="67" cm="1">
        <f t="array" aca="1" ref="E119" ca="1">IF(ISNUMBER(_xll.VoseSimPercentile(Loss_B,$B119)),_xll.VoseSimPercentile(Loss_B,$B119),NA())</f>
        <v>26.450919697124366</v>
      </c>
    </row>
    <row r="120" spans="2:7" hidden="1" outlineLevel="1" x14ac:dyDescent="0.45">
      <c r="B120" s="66">
        <v>0.93</v>
      </c>
      <c r="C120" s="66">
        <f t="shared" si="2"/>
        <v>6.9999999999999951E-2</v>
      </c>
      <c r="D120" s="67" cm="1">
        <f t="array" aca="1" ref="D120" ca="1">IF(ISNUMBER(_xll.VoseSimPercentile(Loss_A,$B120)),_xll.VoseSimPercentile(Loss_A,$B120),NA())</f>
        <v>38.051444444337974</v>
      </c>
      <c r="E120" s="67" cm="1">
        <f t="array" aca="1" ref="E120" ca="1">IF(ISNUMBER(_xll.VoseSimPercentile(Loss_B,$B120)),_xll.VoseSimPercentile(Loss_B,$B120),NA())</f>
        <v>32.954392802454656</v>
      </c>
    </row>
    <row r="121" spans="2:7" hidden="1" outlineLevel="1" x14ac:dyDescent="0.45">
      <c r="B121" s="66">
        <v>0.95</v>
      </c>
      <c r="C121" s="66">
        <f t="shared" si="2"/>
        <v>5.0000000000000044E-2</v>
      </c>
      <c r="D121" s="67" cm="1">
        <f t="array" aca="1" ref="D121" ca="1">IF(ISNUMBER(_xll.VoseSimPercentile(Loss_A,$B121)),_xll.VoseSimPercentile(Loss_A,$B121),NA())</f>
        <v>45.7547827082645</v>
      </c>
      <c r="E121" s="67" cm="1">
        <f t="array" aca="1" ref="E121" ca="1">IF(ISNUMBER(_xll.VoseSimPercentile(Loss_B,$B121)),_xll.VoseSimPercentile(Loss_B,$B121),NA())</f>
        <v>42.122784302836493</v>
      </c>
    </row>
    <row r="122" spans="2:7" hidden="1" outlineLevel="1" x14ac:dyDescent="0.45">
      <c r="B122" s="66">
        <v>0.97</v>
      </c>
      <c r="C122" s="66">
        <f t="shared" si="2"/>
        <v>3.0000000000000027E-2</v>
      </c>
      <c r="D122" s="67" cm="1">
        <f t="array" aca="1" ref="D122" ca="1">IF(ISNUMBER(_xll.VoseSimPercentile(Loss_A,$B122)),_xll.VoseSimPercentile(Loss_A,$B122),NA())</f>
        <v>56.125603870915732</v>
      </c>
      <c r="E122" s="67" cm="1">
        <f t="array" aca="1" ref="E122" ca="1">IF(ISNUMBER(_xll.VoseSimPercentile(Loss_B,$B122)),_xll.VoseSimPercentile(Loss_B,$B122),NA())</f>
        <v>56.552020056547576</v>
      </c>
    </row>
    <row r="123" spans="2:7" hidden="1" outlineLevel="1" x14ac:dyDescent="0.45">
      <c r="B123" s="66">
        <v>0.99</v>
      </c>
      <c r="C123" s="66">
        <f t="shared" si="2"/>
        <v>1.0000000000000009E-2</v>
      </c>
      <c r="D123" s="67" cm="1">
        <f t="array" aca="1" ref="D123" ca="1">IF(ISNUMBER(_xll.VoseSimPercentile(Loss_A,$B123)),_xll.VoseSimPercentile(Loss_A,$B123),NA())</f>
        <v>79.034027449994525</v>
      </c>
      <c r="E123" s="67" cm="1">
        <f t="array" aca="1" ref="E123" ca="1">IF(ISNUMBER(_xll.VoseSimPercentile(Loss_B,$B123)),_xll.VoseSimPercentile(Loss_B,$B123),NA())</f>
        <v>88.645579816440687</v>
      </c>
    </row>
    <row r="124" spans="2:7" hidden="1" outlineLevel="1" x14ac:dyDescent="0.45"/>
    <row r="125" spans="2:7" hidden="1" outlineLevel="1" x14ac:dyDescent="0.45">
      <c r="B125" s="68" t="s">
        <v>213</v>
      </c>
      <c r="D125" s="69" cm="1">
        <f t="array" aca="1" ref="D125" ca="1">_xll.VoseSimMean(Loss_B)</f>
        <v>-27.050979172094561</v>
      </c>
    </row>
    <row r="126" spans="2:7" ht="18" hidden="1" customHeight="1" outlineLevel="1" x14ac:dyDescent="0.45">
      <c r="B126" s="23" t="s">
        <v>214</v>
      </c>
      <c r="C126" s="5"/>
      <c r="D126" s="5"/>
      <c r="E126" s="5"/>
      <c r="F126" s="24" t="s">
        <v>215</v>
      </c>
      <c r="G126" s="24" t="s">
        <v>216</v>
      </c>
    </row>
    <row r="127" spans="2:7" hidden="1" outlineLevel="1" x14ac:dyDescent="0.45">
      <c r="B127" s="70" t="str">
        <f ca="1">B53</f>
        <v>Global equities return</v>
      </c>
      <c r="F127" s="71">
        <f ca="1">IFERROR(D53-$D$125,NA())</f>
        <v>73.403698552990377</v>
      </c>
      <c r="G127" s="71">
        <f ca="1">IFERROR(C53-$D$125,NA())</f>
        <v>-74.637136520144978</v>
      </c>
    </row>
    <row r="128" spans="2:7" hidden="1" outlineLevel="1" x14ac:dyDescent="0.45">
      <c r="B128" s="70" t="str">
        <f ca="1">B54</f>
        <v>Corporate bonds return</v>
      </c>
      <c r="F128" s="71">
        <f ca="1">IFERROR(D54-$D$125,NA())</f>
        <v>63.041146663937852</v>
      </c>
      <c r="G128" s="71">
        <f ca="1">IFERROR(C54-$D$125,NA())</f>
        <v>-64.071062941201632</v>
      </c>
    </row>
    <row r="129" spans="2:7" hidden="1" outlineLevel="1" x14ac:dyDescent="0.45">
      <c r="B129" s="70" t="str">
        <f ca="1">B55</f>
        <v>Listed real estate return</v>
      </c>
      <c r="F129" s="71">
        <f ca="1">IFERROR(D55-$D$125,NA())</f>
        <v>60.5672329615997</v>
      </c>
      <c r="G129" s="71">
        <f ca="1">IFERROR(C55-$D$125,NA())</f>
        <v>-64.364444747908891</v>
      </c>
    </row>
    <row r="130" spans="2:7" hidden="1" outlineLevel="1" x14ac:dyDescent="0.45">
      <c r="B130" s="70" t="str">
        <f ca="1">B56</f>
        <v>Government bonds return</v>
      </c>
      <c r="F130" s="71">
        <f ca="1">IFERROR(D56-$D$125,NA())</f>
        <v>10.337894616189438</v>
      </c>
      <c r="G130" s="71">
        <f ca="1">IFERROR(C56-$D$125,NA())</f>
        <v>-12.048848964817335</v>
      </c>
    </row>
    <row r="131" spans="2:7" hidden="1" outlineLevel="1" x14ac:dyDescent="0.45"/>
    <row r="132" spans="2:7" ht="18" hidden="1" customHeight="1" outlineLevel="1" x14ac:dyDescent="0.45">
      <c r="B132" s="23" t="s">
        <v>217</v>
      </c>
      <c r="C132" s="24" t="s">
        <v>162</v>
      </c>
      <c r="D132" s="5"/>
      <c r="E132" s="5"/>
      <c r="F132" s="5"/>
      <c r="G132" s="5"/>
    </row>
    <row r="133" spans="2:7" hidden="1" outlineLevel="1" x14ac:dyDescent="0.45">
      <c r="B133" s="72">
        <v>5.0000000000000001E-3</v>
      </c>
      <c r="C133" s="67" cm="1">
        <f t="array" aca="1" ref="C133" ca="1">IF(ISNUMBER(_xll.VoseSimPercentile(Loss_B,0.005)),_xll.VoseSimPercentile(Loss_B,0.005),NA())</f>
        <v>-165.6485622666095</v>
      </c>
    </row>
    <row r="134" spans="2:7" hidden="1" outlineLevel="1" x14ac:dyDescent="0.45">
      <c r="B134" s="72">
        <v>0.01</v>
      </c>
      <c r="C134" s="67" cm="1">
        <f t="array" aca="1" ref="C134" ca="1">IF(ISNUMBER(_xll.VoseSimPercentile(Loss_B,0.01)),_xll.VoseSimPercentile(Loss_B,0.01),NA())</f>
        <v>-144.18261363283011</v>
      </c>
    </row>
    <row r="135" spans="2:7" hidden="1" outlineLevel="1" x14ac:dyDescent="0.45">
      <c r="B135" s="72">
        <v>0.02</v>
      </c>
      <c r="C135" s="67" cm="1">
        <f t="array" aca="1" ref="C135" ca="1">IF(ISNUMBER(_xll.VoseSimPercentile(Loss_B,0.02)),_xll.VoseSimPercentile(Loss_B,0.02),NA())</f>
        <v>-121.75737340519139</v>
      </c>
    </row>
    <row r="136" spans="2:7" hidden="1" outlineLevel="1" x14ac:dyDescent="0.45">
      <c r="B136" s="72">
        <v>0.03</v>
      </c>
      <c r="C136" s="67" cm="1">
        <f t="array" aca="1" ref="C136" ca="1">IF(ISNUMBER(_xll.VoseSimPercentile(Loss_B,0.03)),_xll.VoseSimPercentile(Loss_B,0.03),NA())</f>
        <v>-111.35904712822982</v>
      </c>
    </row>
    <row r="137" spans="2:7" hidden="1" outlineLevel="1" x14ac:dyDescent="0.45">
      <c r="B137" s="72">
        <v>0.04</v>
      </c>
      <c r="C137" s="67" cm="1">
        <f t="array" aca="1" ref="C137" ca="1">IF(ISNUMBER(_xll.VoseSimPercentile(Loss_B,0.04)),_xll.VoseSimPercentile(Loss_B,0.04),NA())</f>
        <v>-104.15739179208836</v>
      </c>
    </row>
    <row r="138" spans="2:7" hidden="1" outlineLevel="1" x14ac:dyDescent="0.45">
      <c r="B138" s="72">
        <v>0.05</v>
      </c>
      <c r="C138" s="67" cm="1">
        <f t="array" aca="1" ref="C138" ca="1">IF(ISNUMBER(_xll.VoseSimPercentile(Loss_B,0.05)),_xll.VoseSimPercentile(Loss_B,0.05),NA())</f>
        <v>-98.575211645705423</v>
      </c>
    </row>
    <row r="139" spans="2:7" hidden="1" outlineLevel="1" x14ac:dyDescent="0.45">
      <c r="B139" s="72">
        <v>0.06</v>
      </c>
      <c r="C139" s="67" cm="1">
        <f t="array" aca="1" ref="C139" ca="1">IF(ISNUMBER(_xll.VoseSimPercentile(Loss_B,0.06)),_xll.VoseSimPercentile(Loss_B,0.06),NA())</f>
        <v>-94.05089977007006</v>
      </c>
    </row>
    <row r="140" spans="2:7" hidden="1" outlineLevel="1" x14ac:dyDescent="0.45">
      <c r="B140" s="72">
        <v>7.0000000000000007E-2</v>
      </c>
      <c r="C140" s="67" cm="1">
        <f t="array" aca="1" ref="C140" ca="1">IF(ISNUMBER(_xll.VoseSimPercentile(Loss_B,0.07)),_xll.VoseSimPercentile(Loss_B,0.07),NA())</f>
        <v>-89.976863950130706</v>
      </c>
    </row>
    <row r="141" spans="2:7" hidden="1" outlineLevel="1" x14ac:dyDescent="0.45">
      <c r="B141" s="72">
        <v>0.08</v>
      </c>
      <c r="C141" s="67" cm="1">
        <f t="array" aca="1" ref="C141" ca="1">IF(ISNUMBER(_xll.VoseSimPercentile(Loss_B,0.08)),_xll.VoseSimPercentile(Loss_B,0.08),NA())</f>
        <v>-85.236153776080144</v>
      </c>
    </row>
    <row r="142" spans="2:7" hidden="1" outlineLevel="1" x14ac:dyDescent="0.45">
      <c r="B142" s="72">
        <v>0.09</v>
      </c>
      <c r="C142" s="67" cm="1">
        <f t="array" aca="1" ref="C142" ca="1">IF(ISNUMBER(_xll.VoseSimPercentile(Loss_B,0.09)),_xll.VoseSimPercentile(Loss_B,0.09),NA())</f>
        <v>-81.528681365314284</v>
      </c>
    </row>
    <row r="143" spans="2:7" hidden="1" outlineLevel="1" x14ac:dyDescent="0.45">
      <c r="B143" s="72">
        <v>0.1</v>
      </c>
      <c r="C143" s="67" cm="1">
        <f t="array" aca="1" ref="C143" ca="1">IF(ISNUMBER(_xll.VoseSimPercentile(Loss_B,0.1)),_xll.VoseSimPercentile(Loss_B,0.1),NA())</f>
        <v>-78.21826323510011</v>
      </c>
    </row>
    <row r="144" spans="2:7" hidden="1" outlineLevel="1" x14ac:dyDescent="0.45">
      <c r="B144" s="72">
        <v>0.11</v>
      </c>
      <c r="C144" s="67" cm="1">
        <f t="array" aca="1" ref="C144" ca="1">IF(ISNUMBER(_xll.VoseSimPercentile(Loss_B,0.11)),_xll.VoseSimPercentile(Loss_B,0.11),NA())</f>
        <v>-75.165096462262966</v>
      </c>
    </row>
    <row r="145" spans="2:3" hidden="1" outlineLevel="1" x14ac:dyDescent="0.45">
      <c r="B145" s="72">
        <v>0.12</v>
      </c>
      <c r="C145" s="67" cm="1">
        <f t="array" aca="1" ref="C145" ca="1">IF(ISNUMBER(_xll.VoseSimPercentile(Loss_B,0.12)),_xll.VoseSimPercentile(Loss_B,0.12),NA())</f>
        <v>-72.977109487422595</v>
      </c>
    </row>
    <row r="146" spans="2:3" hidden="1" outlineLevel="1" x14ac:dyDescent="0.45">
      <c r="B146" s="72">
        <v>0.13</v>
      </c>
      <c r="C146" s="67" cm="1">
        <f t="array" aca="1" ref="C146" ca="1">IF(ISNUMBER(_xll.VoseSimPercentile(Loss_B,0.13)),_xll.VoseSimPercentile(Loss_B,0.13),NA())</f>
        <v>-70.675523546692375</v>
      </c>
    </row>
    <row r="147" spans="2:3" hidden="1" outlineLevel="1" x14ac:dyDescent="0.45">
      <c r="B147" s="72">
        <v>0.14000000000000001</v>
      </c>
      <c r="C147" s="67" cm="1">
        <f t="array" aca="1" ref="C147" ca="1">IF(ISNUMBER(_xll.VoseSimPercentile(Loss_B,0.14)),_xll.VoseSimPercentile(Loss_B,0.14),NA())</f>
        <v>-68.57429481566993</v>
      </c>
    </row>
    <row r="148" spans="2:3" hidden="1" outlineLevel="1" x14ac:dyDescent="0.45">
      <c r="B148" s="72">
        <v>0.15</v>
      </c>
      <c r="C148" s="67" cm="1">
        <f t="array" aca="1" ref="C148" ca="1">IF(ISNUMBER(_xll.VoseSimPercentile(Loss_B,0.15)),_xll.VoseSimPercentile(Loss_B,0.15),NA())</f>
        <v>-66.51220805888677</v>
      </c>
    </row>
    <row r="149" spans="2:3" hidden="1" outlineLevel="1" x14ac:dyDescent="0.45">
      <c r="B149" s="72">
        <v>0.16</v>
      </c>
      <c r="C149" s="67" cm="1">
        <f t="array" aca="1" ref="C149" ca="1">IF(ISNUMBER(_xll.VoseSimPercentile(Loss_B,0.16)),_xll.VoseSimPercentile(Loss_B,0.16),NA())</f>
        <v>-64.471404462085758</v>
      </c>
    </row>
    <row r="150" spans="2:3" hidden="1" outlineLevel="1" x14ac:dyDescent="0.45">
      <c r="B150" s="72">
        <v>0.17</v>
      </c>
      <c r="C150" s="67" cm="1">
        <f t="array" aca="1" ref="C150" ca="1">IF(ISNUMBER(_xll.VoseSimPercentile(Loss_B,0.17)),_xll.VoseSimPercentile(Loss_B,0.17),NA())</f>
        <v>-62.633013619991395</v>
      </c>
    </row>
    <row r="151" spans="2:3" hidden="1" outlineLevel="1" x14ac:dyDescent="0.45">
      <c r="B151" s="72">
        <v>0.18</v>
      </c>
      <c r="C151" s="67" cm="1">
        <f t="array" aca="1" ref="C151" ca="1">IF(ISNUMBER(_xll.VoseSimPercentile(Loss_B,0.18)),_xll.VoseSimPercentile(Loss_B,0.18),NA())</f>
        <v>-60.89363153265483</v>
      </c>
    </row>
    <row r="152" spans="2:3" hidden="1" outlineLevel="1" x14ac:dyDescent="0.45">
      <c r="B152" s="72">
        <v>0.19</v>
      </c>
      <c r="C152" s="67" cm="1">
        <f t="array" aca="1" ref="C152" ca="1">IF(ISNUMBER(_xll.VoseSimPercentile(Loss_B,0.19)),_xll.VoseSimPercentile(Loss_B,0.19),NA())</f>
        <v>-59.488110205676897</v>
      </c>
    </row>
    <row r="153" spans="2:3" hidden="1" outlineLevel="1" x14ac:dyDescent="0.45">
      <c r="B153" s="72">
        <v>0.2</v>
      </c>
      <c r="C153" s="67" cm="1">
        <f t="array" aca="1" ref="C153" ca="1">IF(ISNUMBER(_xll.VoseSimPercentile(Loss_B,0.2)),_xll.VoseSimPercentile(Loss_B,0.2),NA())</f>
        <v>-58.217613219808257</v>
      </c>
    </row>
    <row r="154" spans="2:3" hidden="1" outlineLevel="1" x14ac:dyDescent="0.45">
      <c r="B154" s="72">
        <v>0.21</v>
      </c>
      <c r="C154" s="67" cm="1">
        <f t="array" aca="1" ref="C154" ca="1">IF(ISNUMBER(_xll.VoseSimPercentile(Loss_B,0.21)),_xll.VoseSimPercentile(Loss_B,0.21),NA())</f>
        <v>-56.737264124451549</v>
      </c>
    </row>
    <row r="155" spans="2:3" hidden="1" outlineLevel="1" x14ac:dyDescent="0.45">
      <c r="B155" s="72">
        <v>0.22</v>
      </c>
      <c r="C155" s="67" cm="1">
        <f t="array" aca="1" ref="C155" ca="1">IF(ISNUMBER(_xll.VoseSimPercentile(Loss_B,0.22)),_xll.VoseSimPercentile(Loss_B,0.22),NA())</f>
        <v>-55.55782970831762</v>
      </c>
    </row>
    <row r="156" spans="2:3" hidden="1" outlineLevel="1" x14ac:dyDescent="0.45">
      <c r="B156" s="72">
        <v>0.23</v>
      </c>
      <c r="C156" s="67" cm="1">
        <f t="array" aca="1" ref="C156" ca="1">IF(ISNUMBER(_xll.VoseSimPercentile(Loss_B,0.23)),_xll.VoseSimPercentile(Loss_B,0.23),NA())</f>
        <v>-54.231783765267529</v>
      </c>
    </row>
    <row r="157" spans="2:3" hidden="1" outlineLevel="1" x14ac:dyDescent="0.45">
      <c r="B157" s="72">
        <v>0.24</v>
      </c>
      <c r="C157" s="67" cm="1">
        <f t="array" aca="1" ref="C157" ca="1">IF(ISNUMBER(_xll.VoseSimPercentile(Loss_B,0.24)),_xll.VoseSimPercentile(Loss_B,0.24),NA())</f>
        <v>-52.868912274452079</v>
      </c>
    </row>
    <row r="158" spans="2:3" hidden="1" outlineLevel="1" x14ac:dyDescent="0.45">
      <c r="B158" s="72">
        <v>0.25</v>
      </c>
      <c r="C158" s="67" cm="1">
        <f t="array" aca="1" ref="C158" ca="1">IF(ISNUMBER(_xll.VoseSimPercentile(Loss_B,0.25)),_xll.VoseSimPercentile(Loss_B,0.25),NA())</f>
        <v>-51.69906282865189</v>
      </c>
    </row>
    <row r="159" spans="2:3" hidden="1" outlineLevel="1" x14ac:dyDescent="0.45">
      <c r="B159" s="72">
        <v>0.26</v>
      </c>
      <c r="C159" s="67" cm="1">
        <f t="array" aca="1" ref="C159" ca="1">IF(ISNUMBER(_xll.VoseSimPercentile(Loss_B,0.26)),_xll.VoseSimPercentile(Loss_B,0.26),NA())</f>
        <v>-50.498585593342462</v>
      </c>
    </row>
    <row r="160" spans="2:3" hidden="1" outlineLevel="1" x14ac:dyDescent="0.45">
      <c r="B160" s="72">
        <v>0.27</v>
      </c>
      <c r="C160" s="67" cm="1">
        <f t="array" aca="1" ref="C160" ca="1">IF(ISNUMBER(_xll.VoseSimPercentile(Loss_B,0.27)),_xll.VoseSimPercentile(Loss_B,0.27),NA())</f>
        <v>-49.279001553660578</v>
      </c>
    </row>
    <row r="161" spans="2:3" hidden="1" outlineLevel="1" x14ac:dyDescent="0.45">
      <c r="B161" s="72">
        <v>0.28000000000000003</v>
      </c>
      <c r="C161" s="67" cm="1">
        <f t="array" aca="1" ref="C161" ca="1">IF(ISNUMBER(_xll.VoseSimPercentile(Loss_B,0.28)),_xll.VoseSimPercentile(Loss_B,0.28),NA())</f>
        <v>-48.37488192118078</v>
      </c>
    </row>
    <row r="162" spans="2:3" hidden="1" outlineLevel="1" x14ac:dyDescent="0.45">
      <c r="B162" s="72">
        <v>0.28999999999999998</v>
      </c>
      <c r="C162" s="67" cm="1">
        <f t="array" aca="1" ref="C162" ca="1">IF(ISNUMBER(_xll.VoseSimPercentile(Loss_B,0.29)),_xll.VoseSimPercentile(Loss_B,0.29),NA())</f>
        <v>-47.376276090324986</v>
      </c>
    </row>
    <row r="163" spans="2:3" hidden="1" outlineLevel="1" x14ac:dyDescent="0.45">
      <c r="B163" s="72">
        <v>0.3</v>
      </c>
      <c r="C163" s="67" cm="1">
        <f t="array" aca="1" ref="C163" ca="1">IF(ISNUMBER(_xll.VoseSimPercentile(Loss_B,0.3)),_xll.VoseSimPercentile(Loss_B,0.3),NA())</f>
        <v>-46.301977891835243</v>
      </c>
    </row>
    <row r="164" spans="2:3" hidden="1" outlineLevel="1" x14ac:dyDescent="0.45">
      <c r="B164" s="72">
        <v>0.31</v>
      </c>
      <c r="C164" s="67" cm="1">
        <f t="array" aca="1" ref="C164" ca="1">IF(ISNUMBER(_xll.VoseSimPercentile(Loss_B,0.31)),_xll.VoseSimPercentile(Loss_B,0.31),NA())</f>
        <v>-45.166358678138153</v>
      </c>
    </row>
    <row r="165" spans="2:3" hidden="1" outlineLevel="1" x14ac:dyDescent="0.45">
      <c r="B165" s="72">
        <v>0.32</v>
      </c>
      <c r="C165" s="67" cm="1">
        <f t="array" aca="1" ref="C165" ca="1">IF(ISNUMBER(_xll.VoseSimPercentile(Loss_B,0.32)),_xll.VoseSimPercentile(Loss_B,0.32),NA())</f>
        <v>-43.844314390404911</v>
      </c>
    </row>
    <row r="166" spans="2:3" hidden="1" outlineLevel="1" x14ac:dyDescent="0.45">
      <c r="B166" s="72">
        <v>0.33</v>
      </c>
      <c r="C166" s="67" cm="1">
        <f t="array" aca="1" ref="C166" ca="1">IF(ISNUMBER(_xll.VoseSimPercentile(Loss_B,0.33)),_xll.VoseSimPercentile(Loss_B,0.33),NA())</f>
        <v>-42.995137856702875</v>
      </c>
    </row>
    <row r="167" spans="2:3" hidden="1" outlineLevel="1" x14ac:dyDescent="0.45">
      <c r="B167" s="72">
        <v>0.34</v>
      </c>
      <c r="C167" s="67" cm="1">
        <f t="array" aca="1" ref="C167" ca="1">IF(ISNUMBER(_xll.VoseSimPercentile(Loss_B,0.34)),_xll.VoseSimPercentile(Loss_B,0.34),NA())</f>
        <v>-41.897621065710318</v>
      </c>
    </row>
    <row r="168" spans="2:3" hidden="1" outlineLevel="1" x14ac:dyDescent="0.45">
      <c r="B168" s="72">
        <v>0.35</v>
      </c>
      <c r="C168" s="67" cm="1">
        <f t="array" aca="1" ref="C168" ca="1">IF(ISNUMBER(_xll.VoseSimPercentile(Loss_B,0.35)),_xll.VoseSimPercentile(Loss_B,0.35),NA())</f>
        <v>-40.893755251785358</v>
      </c>
    </row>
    <row r="169" spans="2:3" hidden="1" outlineLevel="1" x14ac:dyDescent="0.45">
      <c r="B169" s="72">
        <v>0.36</v>
      </c>
      <c r="C169" s="67" cm="1">
        <f t="array" aca="1" ref="C169" ca="1">IF(ISNUMBER(_xll.VoseSimPercentile(Loss_B,0.36)),_xll.VoseSimPercentile(Loss_B,0.36),NA())</f>
        <v>-39.925552110304189</v>
      </c>
    </row>
    <row r="170" spans="2:3" hidden="1" outlineLevel="1" x14ac:dyDescent="0.45">
      <c r="B170" s="72">
        <v>0.37</v>
      </c>
      <c r="C170" s="67" cm="1">
        <f t="array" aca="1" ref="C170" ca="1">IF(ISNUMBER(_xll.VoseSimPercentile(Loss_B,0.37)),_xll.VoseSimPercentile(Loss_B,0.37),NA())</f>
        <v>-38.858327951875907</v>
      </c>
    </row>
    <row r="171" spans="2:3" hidden="1" outlineLevel="1" x14ac:dyDescent="0.45">
      <c r="B171" s="72">
        <v>0.38</v>
      </c>
      <c r="C171" s="67" cm="1">
        <f t="array" aca="1" ref="C171" ca="1">IF(ISNUMBER(_xll.VoseSimPercentile(Loss_B,0.38)),_xll.VoseSimPercentile(Loss_B,0.38),NA())</f>
        <v>-37.747353068518038</v>
      </c>
    </row>
    <row r="172" spans="2:3" hidden="1" outlineLevel="1" x14ac:dyDescent="0.45">
      <c r="B172" s="72">
        <v>0.39</v>
      </c>
      <c r="C172" s="67" cm="1">
        <f t="array" aca="1" ref="C172" ca="1">IF(ISNUMBER(_xll.VoseSimPercentile(Loss_B,0.39)),_xll.VoseSimPercentile(Loss_B,0.39),NA())</f>
        <v>-36.789174865234862</v>
      </c>
    </row>
    <row r="173" spans="2:3" hidden="1" outlineLevel="1" x14ac:dyDescent="0.45">
      <c r="B173" s="72">
        <v>0.4</v>
      </c>
      <c r="C173" s="67" cm="1">
        <f t="array" aca="1" ref="C173" ca="1">IF(ISNUMBER(_xll.VoseSimPercentile(Loss_B,0.4)),_xll.VoseSimPercentile(Loss_B,0.4),NA())</f>
        <v>-35.798960865281558</v>
      </c>
    </row>
    <row r="174" spans="2:3" hidden="1" outlineLevel="1" x14ac:dyDescent="0.45">
      <c r="B174" s="72">
        <v>0.41</v>
      </c>
      <c r="C174" s="67" cm="1">
        <f t="array" aca="1" ref="C174" ca="1">IF(ISNUMBER(_xll.VoseSimPercentile(Loss_B,0.41)),_xll.VoseSimPercentile(Loss_B,0.41),NA())</f>
        <v>-34.935860226851247</v>
      </c>
    </row>
    <row r="175" spans="2:3" hidden="1" outlineLevel="1" x14ac:dyDescent="0.45">
      <c r="B175" s="72">
        <v>0.42</v>
      </c>
      <c r="C175" s="67" cm="1">
        <f t="array" aca="1" ref="C175" ca="1">IF(ISNUMBER(_xll.VoseSimPercentile(Loss_B,0.42)),_xll.VoseSimPercentile(Loss_B,0.42),NA())</f>
        <v>-34.00983999558963</v>
      </c>
    </row>
    <row r="176" spans="2:3" hidden="1" outlineLevel="1" x14ac:dyDescent="0.45">
      <c r="B176" s="72">
        <v>0.43</v>
      </c>
      <c r="C176" s="67" cm="1">
        <f t="array" aca="1" ref="C176" ca="1">IF(ISNUMBER(_xll.VoseSimPercentile(Loss_B,0.43)),_xll.VoseSimPercentile(Loss_B,0.43),NA())</f>
        <v>-33.080740132075391</v>
      </c>
    </row>
    <row r="177" spans="2:3" hidden="1" outlineLevel="1" x14ac:dyDescent="0.45">
      <c r="B177" s="72">
        <v>0.44</v>
      </c>
      <c r="C177" s="67" cm="1">
        <f t="array" aca="1" ref="C177" ca="1">IF(ISNUMBER(_xll.VoseSimPercentile(Loss_B,0.44)),_xll.VoseSimPercentile(Loss_B,0.44),NA())</f>
        <v>-32.138494795502282</v>
      </c>
    </row>
    <row r="178" spans="2:3" hidden="1" outlineLevel="1" x14ac:dyDescent="0.45">
      <c r="B178" s="72">
        <v>0.45</v>
      </c>
      <c r="C178" s="67" cm="1">
        <f t="array" aca="1" ref="C178" ca="1">IF(ISNUMBER(_xll.VoseSimPercentile(Loss_B,0.45)),_xll.VoseSimPercentile(Loss_B,0.45),NA())</f>
        <v>-31.240354358753773</v>
      </c>
    </row>
    <row r="179" spans="2:3" hidden="1" outlineLevel="1" x14ac:dyDescent="0.45">
      <c r="B179" s="72">
        <v>0.46</v>
      </c>
      <c r="C179" s="67" cm="1">
        <f t="array" aca="1" ref="C179" ca="1">IF(ISNUMBER(_xll.VoseSimPercentile(Loss_B,0.46)),_xll.VoseSimPercentile(Loss_B,0.46),NA())</f>
        <v>-30.25318015677211</v>
      </c>
    </row>
    <row r="180" spans="2:3" hidden="1" outlineLevel="1" x14ac:dyDescent="0.45">
      <c r="B180" s="72">
        <v>0.47</v>
      </c>
      <c r="C180" s="67" cm="1">
        <f t="array" aca="1" ref="C180" ca="1">IF(ISNUMBER(_xll.VoseSimPercentile(Loss_B,0.47)),_xll.VoseSimPercentile(Loss_B,0.47),NA())</f>
        <v>-29.486494074582065</v>
      </c>
    </row>
    <row r="181" spans="2:3" hidden="1" outlineLevel="1" x14ac:dyDescent="0.45">
      <c r="B181" s="72">
        <v>0.48</v>
      </c>
      <c r="C181" s="67" cm="1">
        <f t="array" aca="1" ref="C181" ca="1">IF(ISNUMBER(_xll.VoseSimPercentile(Loss_B,0.48)),_xll.VoseSimPercentile(Loss_B,0.48),NA())</f>
        <v>-28.626350947249303</v>
      </c>
    </row>
    <row r="182" spans="2:3" hidden="1" outlineLevel="1" x14ac:dyDescent="0.45">
      <c r="B182" s="72">
        <v>0.49</v>
      </c>
      <c r="C182" s="67" cm="1">
        <f t="array" aca="1" ref="C182" ca="1">IF(ISNUMBER(_xll.VoseSimPercentile(Loss_B,0.49)),_xll.VoseSimPercentile(Loss_B,0.49),NA())</f>
        <v>-27.727103826415544</v>
      </c>
    </row>
    <row r="183" spans="2:3" hidden="1" outlineLevel="1" x14ac:dyDescent="0.45">
      <c r="B183" s="72">
        <v>0.5</v>
      </c>
      <c r="C183" s="67" cm="1">
        <f t="array" aca="1" ref="C183" ca="1">IF(ISNUMBER(_xll.VoseSimPercentile(Loss_B,0.5)),_xll.VoseSimPercentile(Loss_B,0.5),NA())</f>
        <v>-26.882764114364527</v>
      </c>
    </row>
    <row r="184" spans="2:3" hidden="1" outlineLevel="1" x14ac:dyDescent="0.45">
      <c r="B184" s="72">
        <v>0.51</v>
      </c>
      <c r="C184" s="67" cm="1">
        <f t="array" aca="1" ref="C184" ca="1">IF(ISNUMBER(_xll.VoseSimPercentile(Loss_B,0.51)),_xll.VoseSimPercentile(Loss_B,0.51),NA())</f>
        <v>-26.021618290744065</v>
      </c>
    </row>
    <row r="185" spans="2:3" hidden="1" outlineLevel="1" x14ac:dyDescent="0.45">
      <c r="B185" s="72">
        <v>0.52</v>
      </c>
      <c r="C185" s="67" cm="1">
        <f t="array" aca="1" ref="C185" ca="1">IF(ISNUMBER(_xll.VoseSimPercentile(Loss_B,0.52)),_xll.VoseSimPercentile(Loss_B,0.52),NA())</f>
        <v>-25.069229304499576</v>
      </c>
    </row>
    <row r="186" spans="2:3" hidden="1" outlineLevel="1" x14ac:dyDescent="0.45">
      <c r="B186" s="72">
        <v>0.53</v>
      </c>
      <c r="C186" s="67" cm="1">
        <f t="array" aca="1" ref="C186" ca="1">IF(ISNUMBER(_xll.VoseSimPercentile(Loss_B,0.53)),_xll.VoseSimPercentile(Loss_B,0.53),NA())</f>
        <v>-24.20985563771244</v>
      </c>
    </row>
    <row r="187" spans="2:3" hidden="1" outlineLevel="1" x14ac:dyDescent="0.45">
      <c r="B187" s="72">
        <v>0.54</v>
      </c>
      <c r="C187" s="67" cm="1">
        <f t="array" aca="1" ref="C187" ca="1">IF(ISNUMBER(_xll.VoseSimPercentile(Loss_B,0.54)),_xll.VoseSimPercentile(Loss_B,0.54),NA())</f>
        <v>-23.443668383499034</v>
      </c>
    </row>
    <row r="188" spans="2:3" hidden="1" outlineLevel="1" x14ac:dyDescent="0.45">
      <c r="B188" s="72">
        <v>0.55000000000000004</v>
      </c>
      <c r="C188" s="67" cm="1">
        <f t="array" aca="1" ref="C188" ca="1">IF(ISNUMBER(_xll.VoseSimPercentile(Loss_B,0.55)),_xll.VoseSimPercentile(Loss_B,0.55),NA())</f>
        <v>-22.627847002566579</v>
      </c>
    </row>
    <row r="189" spans="2:3" hidden="1" outlineLevel="1" x14ac:dyDescent="0.45">
      <c r="B189" s="72">
        <v>0.56000000000000005</v>
      </c>
      <c r="C189" s="67" cm="1">
        <f t="array" aca="1" ref="C189" ca="1">IF(ISNUMBER(_xll.VoseSimPercentile(Loss_B,0.56)),_xll.VoseSimPercentile(Loss_B,0.56),NA())</f>
        <v>-21.691826115400826</v>
      </c>
    </row>
    <row r="190" spans="2:3" hidden="1" outlineLevel="1" x14ac:dyDescent="0.45">
      <c r="B190" s="72">
        <v>0.56999999999999995</v>
      </c>
      <c r="C190" s="67" cm="1">
        <f t="array" aca="1" ref="C190" ca="1">IF(ISNUMBER(_xll.VoseSimPercentile(Loss_B,0.57)),_xll.VoseSimPercentile(Loss_B,0.57),NA())</f>
        <v>-20.748851656918003</v>
      </c>
    </row>
    <row r="191" spans="2:3" hidden="1" outlineLevel="1" x14ac:dyDescent="0.45">
      <c r="B191" s="72">
        <v>0.57999999999999996</v>
      </c>
      <c r="C191" s="67" cm="1">
        <f t="array" aca="1" ref="C191" ca="1">IF(ISNUMBER(_xll.VoseSimPercentile(Loss_B,0.58)),_xll.VoseSimPercentile(Loss_B,0.58),NA())</f>
        <v>-19.763310381718561</v>
      </c>
    </row>
    <row r="192" spans="2:3" hidden="1" outlineLevel="1" x14ac:dyDescent="0.45">
      <c r="B192" s="72">
        <v>0.59</v>
      </c>
      <c r="C192" s="67" cm="1">
        <f t="array" aca="1" ref="C192" ca="1">IF(ISNUMBER(_xll.VoseSimPercentile(Loss_B,0.59)),_xll.VoseSimPercentile(Loss_B,0.59),NA())</f>
        <v>-18.788199177973961</v>
      </c>
    </row>
    <row r="193" spans="2:3" hidden="1" outlineLevel="1" x14ac:dyDescent="0.45">
      <c r="B193" s="72">
        <v>0.6</v>
      </c>
      <c r="C193" s="67" cm="1">
        <f t="array" aca="1" ref="C193" ca="1">IF(ISNUMBER(_xll.VoseSimPercentile(Loss_B,0.6)),_xll.VoseSimPercentile(Loss_B,0.6),NA())</f>
        <v>-17.91537590900823</v>
      </c>
    </row>
    <row r="194" spans="2:3" hidden="1" outlineLevel="1" x14ac:dyDescent="0.45">
      <c r="B194" s="72">
        <v>0.61</v>
      </c>
      <c r="C194" s="67" cm="1">
        <f t="array" aca="1" ref="C194" ca="1">IF(ISNUMBER(_xll.VoseSimPercentile(Loss_B,0.61)),_xll.VoseSimPercentile(Loss_B,0.61),NA())</f>
        <v>-16.623277977129835</v>
      </c>
    </row>
    <row r="195" spans="2:3" hidden="1" outlineLevel="1" x14ac:dyDescent="0.45">
      <c r="B195" s="72">
        <v>0.62</v>
      </c>
      <c r="C195" s="67" cm="1">
        <f t="array" aca="1" ref="C195" ca="1">IF(ISNUMBER(_xll.VoseSimPercentile(Loss_B,0.62)),_xll.VoseSimPercentile(Loss_B,0.62),NA())</f>
        <v>-15.633407078776361</v>
      </c>
    </row>
    <row r="196" spans="2:3" hidden="1" outlineLevel="1" x14ac:dyDescent="0.45">
      <c r="B196" s="72">
        <v>0.63</v>
      </c>
      <c r="C196" s="67" cm="1">
        <f t="array" aca="1" ref="C196" ca="1">IF(ISNUMBER(_xll.VoseSimPercentile(Loss_B,0.63)),_xll.VoseSimPercentile(Loss_B,0.63),NA())</f>
        <v>-14.756204980720291</v>
      </c>
    </row>
    <row r="197" spans="2:3" hidden="1" outlineLevel="1" x14ac:dyDescent="0.45">
      <c r="B197" s="72">
        <v>0.64</v>
      </c>
      <c r="C197" s="67" cm="1">
        <f t="array" aca="1" ref="C197" ca="1">IF(ISNUMBER(_xll.VoseSimPercentile(Loss_B,0.64)),_xll.VoseSimPercentile(Loss_B,0.64),NA())</f>
        <v>-13.772245120419818</v>
      </c>
    </row>
    <row r="198" spans="2:3" hidden="1" outlineLevel="1" x14ac:dyDescent="0.45">
      <c r="B198" s="72">
        <v>0.65</v>
      </c>
      <c r="C198" s="67" cm="1">
        <f t="array" aca="1" ref="C198" ca="1">IF(ISNUMBER(_xll.VoseSimPercentile(Loss_B,0.65)),_xll.VoseSimPercentile(Loss_B,0.65),NA())</f>
        <v>-12.829336828970821</v>
      </c>
    </row>
    <row r="199" spans="2:3" hidden="1" outlineLevel="1" x14ac:dyDescent="0.45">
      <c r="B199" s="72">
        <v>0.66</v>
      </c>
      <c r="C199" s="67" cm="1">
        <f t="array" aca="1" ref="C199" ca="1">IF(ISNUMBER(_xll.VoseSimPercentile(Loss_B,0.66)),_xll.VoseSimPercentile(Loss_B,0.66),NA())</f>
        <v>-11.835310206956663</v>
      </c>
    </row>
    <row r="200" spans="2:3" hidden="1" outlineLevel="1" x14ac:dyDescent="0.45">
      <c r="B200" s="72">
        <v>0.67</v>
      </c>
      <c r="C200" s="67" cm="1">
        <f t="array" aca="1" ref="C200" ca="1">IF(ISNUMBER(_xll.VoseSimPercentile(Loss_B,0.67)),_xll.VoseSimPercentile(Loss_B,0.67),NA())</f>
        <v>-10.747345445727031</v>
      </c>
    </row>
    <row r="201" spans="2:3" hidden="1" outlineLevel="1" x14ac:dyDescent="0.45">
      <c r="B201" s="72">
        <v>0.68</v>
      </c>
      <c r="C201" s="67" cm="1">
        <f t="array" aca="1" ref="C201" ca="1">IF(ISNUMBER(_xll.VoseSimPercentile(Loss_B,0.68)),_xll.VoseSimPercentile(Loss_B,0.68),NA())</f>
        <v>-9.8033164165354876</v>
      </c>
    </row>
    <row r="202" spans="2:3" hidden="1" outlineLevel="1" x14ac:dyDescent="0.45">
      <c r="B202" s="72">
        <v>0.69</v>
      </c>
      <c r="C202" s="67" cm="1">
        <f t="array" aca="1" ref="C202" ca="1">IF(ISNUMBER(_xll.VoseSimPercentile(Loss_B,0.69)),_xll.VoseSimPercentile(Loss_B,0.69),NA())</f>
        <v>-8.7677856403374825</v>
      </c>
    </row>
    <row r="203" spans="2:3" hidden="1" outlineLevel="1" x14ac:dyDescent="0.45">
      <c r="B203" s="72">
        <v>0.7</v>
      </c>
      <c r="C203" s="67" cm="1">
        <f t="array" aca="1" ref="C203" ca="1">IF(ISNUMBER(_xll.VoseSimPercentile(Loss_B,0.7)),_xll.VoseSimPercentile(Loss_B,0.7),NA())</f>
        <v>-7.6016807237332982</v>
      </c>
    </row>
    <row r="204" spans="2:3" hidden="1" outlineLevel="1" x14ac:dyDescent="0.45">
      <c r="B204" s="72">
        <v>0.71</v>
      </c>
      <c r="C204" s="67" cm="1">
        <f t="array" aca="1" ref="C204" ca="1">IF(ISNUMBER(_xll.VoseSimPercentile(Loss_B,0.71)),_xll.VoseSimPercentile(Loss_B,0.71),NA())</f>
        <v>-6.5661292490144296</v>
      </c>
    </row>
    <row r="205" spans="2:3" hidden="1" outlineLevel="1" x14ac:dyDescent="0.45">
      <c r="B205" s="72">
        <v>0.72</v>
      </c>
      <c r="C205" s="67" cm="1">
        <f t="array" aca="1" ref="C205" ca="1">IF(ISNUMBER(_xll.VoseSimPercentile(Loss_B,0.72)),_xll.VoseSimPercentile(Loss_B,0.72),NA())</f>
        <v>-5.4514438437962367</v>
      </c>
    </row>
    <row r="206" spans="2:3" hidden="1" outlineLevel="1" x14ac:dyDescent="0.45">
      <c r="B206" s="72">
        <v>0.73</v>
      </c>
      <c r="C206" s="67" cm="1">
        <f t="array" aca="1" ref="C206" ca="1">IF(ISNUMBER(_xll.VoseSimPercentile(Loss_B,0.73)),_xll.VoseSimPercentile(Loss_B,0.73),NA())</f>
        <v>-4.4048813783977359</v>
      </c>
    </row>
    <row r="207" spans="2:3" hidden="1" outlineLevel="1" x14ac:dyDescent="0.45">
      <c r="B207" s="72">
        <v>0.74</v>
      </c>
      <c r="C207" s="67" cm="1">
        <f t="array" aca="1" ref="C207" ca="1">IF(ISNUMBER(_xll.VoseSimPercentile(Loss_B,0.74)),_xll.VoseSimPercentile(Loss_B,0.74),NA())</f>
        <v>-3.1348420677630968</v>
      </c>
    </row>
    <row r="208" spans="2:3" hidden="1" outlineLevel="1" x14ac:dyDescent="0.45">
      <c r="B208" s="72">
        <v>0.75</v>
      </c>
      <c r="C208" s="67" cm="1">
        <f t="array" aca="1" ref="C208" ca="1">IF(ISNUMBER(_xll.VoseSimPercentile(Loss_B,0.75)),_xll.VoseSimPercentile(Loss_B,0.75),NA())</f>
        <v>-1.9916278928157685</v>
      </c>
    </row>
    <row r="209" spans="2:3" hidden="1" outlineLevel="1" x14ac:dyDescent="0.45">
      <c r="B209" s="72">
        <v>0.76</v>
      </c>
      <c r="C209" s="67" cm="1">
        <f t="array" aca="1" ref="C209" ca="1">IF(ISNUMBER(_xll.VoseSimPercentile(Loss_B,0.76)),_xll.VoseSimPercentile(Loss_B,0.76),NA())</f>
        <v>-0.76672327830932863</v>
      </c>
    </row>
    <row r="210" spans="2:3" hidden="1" outlineLevel="1" x14ac:dyDescent="0.45">
      <c r="B210" s="72">
        <v>0.77</v>
      </c>
      <c r="C210" s="67" cm="1">
        <f t="array" aca="1" ref="C210" ca="1">IF(ISNUMBER(_xll.VoseSimPercentile(Loss_B,0.77)),_xll.VoseSimPercentile(Loss_B,0.77),NA())</f>
        <v>0.38447653882809707</v>
      </c>
    </row>
    <row r="211" spans="2:3" hidden="1" outlineLevel="1" x14ac:dyDescent="0.45">
      <c r="B211" s="72">
        <v>0.78</v>
      </c>
      <c r="C211" s="67" cm="1">
        <f t="array" aca="1" ref="C211" ca="1">IF(ISNUMBER(_xll.VoseSimPercentile(Loss_B,0.78)),_xll.VoseSimPercentile(Loss_B,0.78),NA())</f>
        <v>1.6551764603176993</v>
      </c>
    </row>
    <row r="212" spans="2:3" hidden="1" outlineLevel="1" x14ac:dyDescent="0.45">
      <c r="B212" s="72">
        <v>0.79</v>
      </c>
      <c r="C212" s="67" cm="1">
        <f t="array" aca="1" ref="C212" ca="1">IF(ISNUMBER(_xll.VoseSimPercentile(Loss_B,0.79)),_xll.VoseSimPercentile(Loss_B,0.79),NA())</f>
        <v>2.848902206853571</v>
      </c>
    </row>
    <row r="213" spans="2:3" hidden="1" outlineLevel="1" x14ac:dyDescent="0.45">
      <c r="B213" s="72">
        <v>0.8</v>
      </c>
      <c r="C213" s="67" cm="1">
        <f t="array" aca="1" ref="C213" ca="1">IF(ISNUMBER(_xll.VoseSimPercentile(Loss_B,0.8)),_xll.VoseSimPercentile(Loss_B,0.8),NA())</f>
        <v>4.3669933006125206</v>
      </c>
    </row>
    <row r="214" spans="2:3" hidden="1" outlineLevel="1" x14ac:dyDescent="0.45">
      <c r="B214" s="72">
        <v>0.81</v>
      </c>
      <c r="C214" s="67" cm="1">
        <f t="array" aca="1" ref="C214" ca="1">IF(ISNUMBER(_xll.VoseSimPercentile(Loss_B,0.81)),_xll.VoseSimPercentile(Loss_B,0.81),NA())</f>
        <v>5.9304080287679986</v>
      </c>
    </row>
    <row r="215" spans="2:3" hidden="1" outlineLevel="1" x14ac:dyDescent="0.45">
      <c r="B215" s="72">
        <v>0.82</v>
      </c>
      <c r="C215" s="67" cm="1">
        <f t="array" aca="1" ref="C215" ca="1">IF(ISNUMBER(_xll.VoseSimPercentile(Loss_B,0.82)),_xll.VoseSimPercentile(Loss_B,0.82),NA())</f>
        <v>7.5993143884568628</v>
      </c>
    </row>
    <row r="216" spans="2:3" hidden="1" outlineLevel="1" x14ac:dyDescent="0.45">
      <c r="B216" s="72">
        <v>0.83</v>
      </c>
      <c r="C216" s="67" cm="1">
        <f t="array" aca="1" ref="C216" ca="1">IF(ISNUMBER(_xll.VoseSimPercentile(Loss_B,0.83)),_xll.VoseSimPercentile(Loss_B,0.83),NA())</f>
        <v>9.1552664570602573</v>
      </c>
    </row>
    <row r="217" spans="2:3" hidden="1" outlineLevel="1" x14ac:dyDescent="0.45">
      <c r="B217" s="72">
        <v>0.84</v>
      </c>
      <c r="C217" s="67" cm="1">
        <f t="array" aca="1" ref="C217" ca="1">IF(ISNUMBER(_xll.VoseSimPercentile(Loss_B,0.84)),_xll.VoseSimPercentile(Loss_B,0.84),NA())</f>
        <v>10.786394451445455</v>
      </c>
    </row>
    <row r="218" spans="2:3" hidden="1" outlineLevel="1" x14ac:dyDescent="0.45">
      <c r="B218" s="72">
        <v>0.85</v>
      </c>
      <c r="C218" s="67" cm="1">
        <f t="array" aca="1" ref="C218" ca="1">IF(ISNUMBER(_xll.VoseSimPercentile(Loss_B,0.85)),_xll.VoseSimPercentile(Loss_B,0.85),NA())</f>
        <v>12.637939615293911</v>
      </c>
    </row>
    <row r="219" spans="2:3" hidden="1" outlineLevel="1" x14ac:dyDescent="0.45">
      <c r="B219" s="72">
        <v>0.86</v>
      </c>
      <c r="C219" s="67" cm="1">
        <f t="array" aca="1" ref="C219" ca="1">IF(ISNUMBER(_xll.VoseSimPercentile(Loss_B,0.86)),_xll.VoseSimPercentile(Loss_B,0.86),NA())</f>
        <v>14.831892718959605</v>
      </c>
    </row>
    <row r="220" spans="2:3" hidden="1" outlineLevel="1" x14ac:dyDescent="0.45">
      <c r="B220" s="72">
        <v>0.87</v>
      </c>
      <c r="C220" s="67" cm="1">
        <f t="array" aca="1" ref="C220" ca="1">IF(ISNUMBER(_xll.VoseSimPercentile(Loss_B,0.87)),_xll.VoseSimPercentile(Loss_B,0.87),NA())</f>
        <v>16.675881695906828</v>
      </c>
    </row>
    <row r="221" spans="2:3" hidden="1" outlineLevel="1" x14ac:dyDescent="0.45">
      <c r="B221" s="72">
        <v>0.88</v>
      </c>
      <c r="C221" s="67" cm="1">
        <f t="array" aca="1" ref="C221" ca="1">IF(ISNUMBER(_xll.VoseSimPercentile(Loss_B,0.88)),_xll.VoseSimPercentile(Loss_B,0.88),NA())</f>
        <v>18.656417557499342</v>
      </c>
    </row>
    <row r="222" spans="2:3" hidden="1" outlineLevel="1" x14ac:dyDescent="0.45">
      <c r="B222" s="72">
        <v>0.89</v>
      </c>
      <c r="C222" s="67" cm="1">
        <f t="array" aca="1" ref="C222" ca="1">IF(ISNUMBER(_xll.VoseSimPercentile(Loss_B,0.89)),_xll.VoseSimPercentile(Loss_B,0.89),NA())</f>
        <v>20.815948126738522</v>
      </c>
    </row>
    <row r="223" spans="2:3" hidden="1" outlineLevel="1" x14ac:dyDescent="0.45">
      <c r="B223" s="72">
        <v>0.9</v>
      </c>
      <c r="C223" s="67" cm="1">
        <f t="array" aca="1" ref="C223" ca="1">IF(ISNUMBER(_xll.VoseSimPercentile(Loss_B,0.9)),_xll.VoseSimPercentile(Loss_B,0.9),NA())</f>
        <v>23.209774859388432</v>
      </c>
    </row>
    <row r="224" spans="2:3" hidden="1" outlineLevel="1" x14ac:dyDescent="0.45">
      <c r="B224" s="72">
        <v>0.91</v>
      </c>
      <c r="C224" s="67" cm="1">
        <f t="array" aca="1" ref="C224" ca="1">IF(ISNUMBER(_xll.VoseSimPercentile(Loss_B,0.91)),_xll.VoseSimPercentile(Loss_B,0.91),NA())</f>
        <v>26.450919697124366</v>
      </c>
    </row>
    <row r="225" spans="2:7" hidden="1" outlineLevel="1" x14ac:dyDescent="0.45">
      <c r="B225" s="72">
        <v>0.92</v>
      </c>
      <c r="C225" s="67" cm="1">
        <f t="array" aca="1" ref="C225" ca="1">IF(ISNUMBER(_xll.VoseSimPercentile(Loss_B,0.92)),_xll.VoseSimPercentile(Loss_B,0.92),NA())</f>
        <v>29.437472463225525</v>
      </c>
    </row>
    <row r="226" spans="2:7" hidden="1" outlineLevel="1" x14ac:dyDescent="0.45">
      <c r="B226" s="72">
        <v>0.93</v>
      </c>
      <c r="C226" s="67" cm="1">
        <f t="array" aca="1" ref="C226" ca="1">IF(ISNUMBER(_xll.VoseSimPercentile(Loss_B,0.93)),_xll.VoseSimPercentile(Loss_B,0.93),NA())</f>
        <v>32.954392802454656</v>
      </c>
    </row>
    <row r="227" spans="2:7" hidden="1" outlineLevel="1" x14ac:dyDescent="0.45">
      <c r="B227" s="72">
        <v>0.94</v>
      </c>
      <c r="C227" s="67" cm="1">
        <f t="array" aca="1" ref="C227" ca="1">IF(ISNUMBER(_xll.VoseSimPercentile(Loss_B,0.94)),_xll.VoseSimPercentile(Loss_B,0.94),NA())</f>
        <v>36.583262274897187</v>
      </c>
    </row>
    <row r="228" spans="2:7" hidden="1" outlineLevel="1" x14ac:dyDescent="0.45">
      <c r="B228" s="72">
        <v>0.95</v>
      </c>
      <c r="C228" s="67" cm="1">
        <f t="array" aca="1" ref="C228" ca="1">IF(ISNUMBER(_xll.VoseSimPercentile(Loss_B,0.95)),_xll.VoseSimPercentile(Loss_B,0.95),NA())</f>
        <v>42.122784302836493</v>
      </c>
    </row>
    <row r="229" spans="2:7" hidden="1" outlineLevel="1" x14ac:dyDescent="0.45">
      <c r="B229" s="72">
        <v>0.96</v>
      </c>
      <c r="C229" s="67" cm="1">
        <f t="array" aca="1" ref="C229" ca="1">IF(ISNUMBER(_xll.VoseSimPercentile(Loss_B,0.96)),_xll.VoseSimPercentile(Loss_B,0.96),NA())</f>
        <v>48.643713004500754</v>
      </c>
    </row>
    <row r="230" spans="2:7" hidden="1" outlineLevel="1" x14ac:dyDescent="0.45">
      <c r="B230" s="72">
        <v>0.97</v>
      </c>
      <c r="C230" s="67" cm="1">
        <f t="array" aca="1" ref="C230" ca="1">IF(ISNUMBER(_xll.VoseSimPercentile(Loss_B,0.97)),_xll.VoseSimPercentile(Loss_B,0.97),NA())</f>
        <v>56.552020056547576</v>
      </c>
    </row>
    <row r="231" spans="2:7" hidden="1" outlineLevel="1" x14ac:dyDescent="0.45">
      <c r="B231" s="72">
        <v>0.98</v>
      </c>
      <c r="C231" s="67" cm="1">
        <f t="array" aca="1" ref="C231" ca="1">IF(ISNUMBER(_xll.VoseSimPercentile(Loss_B,0.98)),_xll.VoseSimPercentile(Loss_B,0.98),NA())</f>
        <v>67.842196157495891</v>
      </c>
    </row>
    <row r="232" spans="2:7" hidden="1" outlineLevel="1" x14ac:dyDescent="0.45">
      <c r="B232" s="72">
        <v>0.99</v>
      </c>
      <c r="C232" s="67" cm="1">
        <f t="array" aca="1" ref="C232" ca="1">IF(ISNUMBER(_xll.VoseSimPercentile(Loss_B,0.99)),_xll.VoseSimPercentile(Loss_B,0.99),NA())</f>
        <v>88.645579816440687</v>
      </c>
    </row>
    <row r="233" spans="2:7" hidden="1" outlineLevel="1" x14ac:dyDescent="0.45">
      <c r="B233" s="72">
        <v>0.995</v>
      </c>
      <c r="C233" s="67" cm="1">
        <f t="array" aca="1" ref="C233" ca="1">IF(ISNUMBER(_xll.VoseSimPercentile(Loss_B,0.995)),_xll.VoseSimPercentile(Loss_B,0.995),NA())</f>
        <v>110.24808195506036</v>
      </c>
    </row>
    <row r="234" spans="2:7" hidden="1" outlineLevel="1" x14ac:dyDescent="0.45"/>
    <row r="235" spans="2:7" ht="18" hidden="1" customHeight="1" outlineLevel="1" x14ac:dyDescent="0.45">
      <c r="B235" s="23" t="s">
        <v>218</v>
      </c>
      <c r="C235" s="24" t="s">
        <v>219</v>
      </c>
      <c r="D235" s="24" t="s">
        <v>220</v>
      </c>
      <c r="E235" s="24" t="s">
        <v>221</v>
      </c>
      <c r="F235" s="24" t="s">
        <v>222</v>
      </c>
      <c r="G235" s="24" t="s">
        <v>223</v>
      </c>
    </row>
    <row r="236" spans="2:7" hidden="1" outlineLevel="1" x14ac:dyDescent="0.45">
      <c r="B236" s="73">
        <v>0</v>
      </c>
      <c r="C236" s="67">
        <f ca="1">IF(ISNUMBER($C$133),$C$133+($C$233-$C$133)*0/24,NA())</f>
        <v>-165.6485622666095</v>
      </c>
      <c r="D236" s="74">
        <f t="shared" ref="D236:D260" ca="1" si="3">IF(ISNUMBER(C236),MATCH(C236,$C$133:$C$233,1),NA())</f>
        <v>1</v>
      </c>
      <c r="E236" s="67">
        <f t="shared" ref="E236:E259" ca="1" si="4">IF(ISNUMBER(C236),(C236+C237)/2,NA())</f>
        <v>-159.90071551199139</v>
      </c>
      <c r="F236" s="72">
        <f t="shared" ref="F236:F259" ca="1" si="5">IF(ISNUMBER(G237),G237-G236,NA())</f>
        <v>2.6776579282283188E-3</v>
      </c>
      <c r="G236" s="72" cm="1">
        <f t="array" aca="1" ref="G236" ca="1">IF(ISNUMBER(D236),IF(D236&gt;=101,INDEX($B$133:$B$233,101),INDEX($B$133:$B$233,D236)+(C236-INDEX($C$133:$C$233,D236))/MAX(0.000000000001,INDEX($C$133:$C$233,D236+1)-INDEX($C$133:$C$233,D236))*(INDEX($B$133:$B$233,D236+1)-INDEX($B$133:$B$233,D236))),NA())</f>
        <v>5.0000000000000001E-3</v>
      </c>
    </row>
    <row r="237" spans="2:7" hidden="1" outlineLevel="1" x14ac:dyDescent="0.45">
      <c r="B237" s="73">
        <v>1</v>
      </c>
      <c r="C237" s="67">
        <f ca="1">IF(ISNUMBER($C$133),$C$133+($C$233-$C$133)*1/24,NA())</f>
        <v>-154.15286875737326</v>
      </c>
      <c r="D237" s="74">
        <f t="shared" ca="1" si="3"/>
        <v>1</v>
      </c>
      <c r="E237" s="67">
        <f t="shared" ca="1" si="4"/>
        <v>-148.40502200275512</v>
      </c>
      <c r="F237" s="72">
        <f t="shared" ca="1" si="5"/>
        <v>3.0025748671434907E-3</v>
      </c>
      <c r="G237" s="72" cm="1">
        <f t="array" aca="1" ref="G237" ca="1">IF(ISNUMBER(D237),IF(D237&gt;=101,INDEX($B$133:$B$233,101),INDEX($B$133:$B$233,D237)+(C237-INDEX($C$133:$C$233,D237))/MAX(0.000000000001,INDEX($C$133:$C$233,D237+1)-INDEX($C$133:$C$233,D237))*(INDEX($B$133:$B$233,D237+1)-INDEX($B$133:$B$233,D237))),NA())</f>
        <v>7.6776579282283189E-3</v>
      </c>
    </row>
    <row r="238" spans="2:7" hidden="1" outlineLevel="1" x14ac:dyDescent="0.45">
      <c r="B238" s="73">
        <v>2</v>
      </c>
      <c r="C238" s="67">
        <f ca="1">IF(ISNUMBER($C$133),$C$133+($C$233-$C$133)*2/24,NA())</f>
        <v>-142.65717524813701</v>
      </c>
      <c r="D238" s="74">
        <f t="shared" ca="1" si="3"/>
        <v>2</v>
      </c>
      <c r="E238" s="67">
        <f t="shared" ca="1" si="4"/>
        <v>-136.9093284935189</v>
      </c>
      <c r="F238" s="72">
        <f t="shared" ca="1" si="5"/>
        <v>5.1262298162888815E-3</v>
      </c>
      <c r="G238" s="72" cm="1">
        <f t="array" aca="1" ref="G238" ca="1">IF(ISNUMBER(D238),IF(D238&gt;=101,INDEX($B$133:$B$233,101),INDEX($B$133:$B$233,D238)+(C238-INDEX($C$133:$C$233,D238))/MAX(0.000000000001,INDEX($C$133:$C$233,D238+1)-INDEX($C$133:$C$233,D238))*(INDEX($B$133:$B$233,D238+1)-INDEX($B$133:$B$233,D238))),NA())</f>
        <v>1.068023279537181E-2</v>
      </c>
    </row>
    <row r="239" spans="2:7" hidden="1" outlineLevel="1" x14ac:dyDescent="0.45">
      <c r="B239" s="73">
        <v>3</v>
      </c>
      <c r="C239" s="67">
        <f ca="1">IF(ISNUMBER($C$133),$C$133+($C$233-$C$133)*3/24,NA())</f>
        <v>-131.16148173890076</v>
      </c>
      <c r="D239" s="74">
        <f t="shared" ca="1" si="3"/>
        <v>2</v>
      </c>
      <c r="E239" s="67">
        <f t="shared" ca="1" si="4"/>
        <v>-125.41363498428264</v>
      </c>
      <c r="F239" s="72">
        <f t="shared" ca="1" si="5"/>
        <v>6.2050006948533298E-3</v>
      </c>
      <c r="G239" s="72" cm="1">
        <f t="array" aca="1" ref="G239" ca="1">IF(ISNUMBER(D239),IF(D239&gt;=101,INDEX($B$133:$B$233,101),INDEX($B$133:$B$233,D239)+(C239-INDEX($C$133:$C$233,D239))/MAX(0.000000000001,INDEX($C$133:$C$233,D239+1)-INDEX($C$133:$C$233,D239))*(INDEX($B$133:$B$233,D239+1)-INDEX($B$133:$B$233,D239))),NA())</f>
        <v>1.5806462611660691E-2</v>
      </c>
    </row>
    <row r="240" spans="2:7" hidden="1" outlineLevel="1" x14ac:dyDescent="0.45">
      <c r="B240" s="73">
        <v>4</v>
      </c>
      <c r="C240" s="67">
        <f ca="1">IF(ISNUMBER($C$133),$C$133+($C$233-$C$133)*4/24,NA())</f>
        <v>-119.66578822966451</v>
      </c>
      <c r="D240" s="74">
        <f t="shared" ca="1" si="3"/>
        <v>3</v>
      </c>
      <c r="E240" s="67">
        <f t="shared" ca="1" si="4"/>
        <v>-113.91794147504639</v>
      </c>
      <c r="F240" s="72">
        <f t="shared" ca="1" si="5"/>
        <v>1.2416619209179022E-2</v>
      </c>
      <c r="G240" s="72" cm="1">
        <f t="array" aca="1" ref="G240" ca="1">IF(ISNUMBER(D240),IF(D240&gt;=101,INDEX($B$133:$B$233,101),INDEX($B$133:$B$233,D240)+(C240-INDEX($C$133:$C$233,D240))/MAX(0.000000000001,INDEX($C$133:$C$233,D240+1)-INDEX($C$133:$C$233,D240))*(INDEX($B$133:$B$233,D240+1)-INDEX($B$133:$B$233,D240))),NA())</f>
        <v>2.2011463306514021E-2</v>
      </c>
    </row>
    <row r="241" spans="2:7" hidden="1" outlineLevel="1" x14ac:dyDescent="0.45">
      <c r="B241" s="73">
        <v>5</v>
      </c>
      <c r="C241" s="67">
        <f ca="1">IF(ISNUMBER($C$133),$C$133+($C$233-$C$133)*5/24,NA())</f>
        <v>-108.17009472042827</v>
      </c>
      <c r="D241" s="74">
        <f t="shared" ca="1" si="3"/>
        <v>4</v>
      </c>
      <c r="E241" s="67">
        <f t="shared" ca="1" si="4"/>
        <v>-102.42224796581016</v>
      </c>
      <c r="F241" s="72">
        <f t="shared" ca="1" si="5"/>
        <v>1.9773242429984919E-2</v>
      </c>
      <c r="G241" s="72" cm="1">
        <f t="array" aca="1" ref="G241" ca="1">IF(ISNUMBER(D241),IF(D241&gt;=101,INDEX($B$133:$B$233,101),INDEX($B$133:$B$233,D241)+(C241-INDEX($C$133:$C$233,D241))/MAX(0.000000000001,INDEX($C$133:$C$233,D241+1)-INDEX($C$133:$C$233,D241))*(INDEX($B$133:$B$233,D241+1)-INDEX($B$133:$B$233,D241))),NA())</f>
        <v>3.4428082515693043E-2</v>
      </c>
    </row>
    <row r="242" spans="2:7" hidden="1" outlineLevel="1" x14ac:dyDescent="0.45">
      <c r="B242" s="73">
        <v>6</v>
      </c>
      <c r="C242" s="67">
        <f ca="1">IF(ISNUMBER($C$133),$C$133+($C$233-$C$133)*6/24,NA())</f>
        <v>-96.674401211192034</v>
      </c>
      <c r="D242" s="74">
        <f t="shared" ca="1" si="3"/>
        <v>6</v>
      </c>
      <c r="E242" s="67">
        <f t="shared" ca="1" si="4"/>
        <v>-90.926554456573911</v>
      </c>
      <c r="F242" s="72">
        <f t="shared" ca="1" si="5"/>
        <v>2.5953621788268169E-2</v>
      </c>
      <c r="G242" s="72" cm="1">
        <f t="array" aca="1" ref="G242" ca="1">IF(ISNUMBER(D242),IF(D242&gt;=101,INDEX($B$133:$B$233,101),INDEX($B$133:$B$233,D242)+(C242-INDEX($C$133:$C$233,D242))/MAX(0.000000000001,INDEX($C$133:$C$233,D242+1)-INDEX($C$133:$C$233,D242))*(INDEX($B$133:$B$233,D242+1)-INDEX($B$133:$B$233,D242))),NA())</f>
        <v>5.4201324945677962E-2</v>
      </c>
    </row>
    <row r="243" spans="2:7" hidden="1" outlineLevel="1" x14ac:dyDescent="0.45">
      <c r="B243" s="73">
        <v>7</v>
      </c>
      <c r="C243" s="67">
        <f ca="1">IF(ISNUMBER($C$133),$C$133+($C$233-$C$133)*7/24,NA())</f>
        <v>-85.178707701955787</v>
      </c>
      <c r="D243" s="74">
        <f t="shared" ca="1" si="3"/>
        <v>9</v>
      </c>
      <c r="E243" s="67">
        <f t="shared" ca="1" si="4"/>
        <v>-79.430860947337663</v>
      </c>
      <c r="F243" s="72">
        <f t="shared" ca="1" si="5"/>
        <v>3.6618778551377171E-2</v>
      </c>
      <c r="G243" s="72" cm="1">
        <f t="array" aca="1" ref="G243" ca="1">IF(ISNUMBER(D243),IF(D243&gt;=101,INDEX($B$133:$B$233,101),INDEX($B$133:$B$233,D243)+(C243-INDEX($C$133:$C$233,D243))/MAX(0.000000000001,INDEX($C$133:$C$233,D243+1)-INDEX($C$133:$C$233,D243))*(INDEX($B$133:$B$233,D243+1)-INDEX($B$133:$B$233,D243))),NA())</f>
        <v>8.0154946733946131E-2</v>
      </c>
    </row>
    <row r="244" spans="2:7" hidden="1" outlineLevel="1" x14ac:dyDescent="0.45">
      <c r="B244" s="73">
        <v>8</v>
      </c>
      <c r="C244" s="67">
        <f ca="1">IF(ISNUMBER($C$133),$C$133+($C$233-$C$133)*8/24,NA())</f>
        <v>-73.68301419271954</v>
      </c>
      <c r="D244" s="74">
        <f t="shared" ca="1" si="3"/>
        <v>12</v>
      </c>
      <c r="E244" s="67">
        <f t="shared" ca="1" si="4"/>
        <v>-67.935167438101416</v>
      </c>
      <c r="F244" s="72">
        <f t="shared" ca="1" si="5"/>
        <v>5.5788638325023857E-2</v>
      </c>
      <c r="G244" s="72" cm="1">
        <f t="array" aca="1" ref="G244" ca="1">IF(ISNUMBER(D244),IF(D244&gt;=101,INDEX($B$133:$B$233,101),INDEX($B$133:$B$233,D244)+(C244-INDEX($C$133:$C$233,D244))/MAX(0.000000000001,INDEX($C$133:$C$233,D244+1)-INDEX($C$133:$C$233,D244))*(INDEX($B$133:$B$233,D244+1)-INDEX($B$133:$B$233,D244))),NA())</f>
        <v>0.1167737252853233</v>
      </c>
    </row>
    <row r="245" spans="2:7" hidden="1" outlineLevel="1" x14ac:dyDescent="0.45">
      <c r="B245" s="73">
        <v>9</v>
      </c>
      <c r="C245" s="67">
        <f ca="1">IF(ISNUMBER($C$133),$C$133+($C$233-$C$133)*9/24,NA())</f>
        <v>-62.187320683483307</v>
      </c>
      <c r="D245" s="74">
        <f t="shared" ca="1" si="3"/>
        <v>18</v>
      </c>
      <c r="E245" s="67">
        <f t="shared" ca="1" si="4"/>
        <v>-56.439473928865176</v>
      </c>
      <c r="F245" s="72">
        <f t="shared" ca="1" si="5"/>
        <v>8.582959606013485E-2</v>
      </c>
      <c r="G245" s="72" cm="1">
        <f t="array" aca="1" ref="G245" ca="1">IF(ISNUMBER(D245),IF(D245&gt;=101,INDEX($B$133:$B$233,101),INDEX($B$133:$B$233,D245)+(C245-INDEX($C$133:$C$233,D245))/MAX(0.000000000001,INDEX($C$133:$C$233,D245+1)-INDEX($C$133:$C$233,D245))*(INDEX($B$133:$B$233,D245+1)-INDEX($B$133:$B$233,D245))),NA())</f>
        <v>0.17256236361034716</v>
      </c>
    </row>
    <row r="246" spans="2:7" hidden="1" outlineLevel="1" x14ac:dyDescent="0.45">
      <c r="B246" s="73">
        <v>10</v>
      </c>
      <c r="C246" s="67">
        <f ca="1">IF(ISNUMBER($C$133),$C$133+($C$233-$C$133)*10/24,NA())</f>
        <v>-50.691627174247046</v>
      </c>
      <c r="D246" s="74">
        <f t="shared" ca="1" si="3"/>
        <v>26</v>
      </c>
      <c r="E246" s="67">
        <f t="shared" ca="1" si="4"/>
        <v>-44.943780419628929</v>
      </c>
      <c r="F246" s="72">
        <f t="shared" ca="1" si="5"/>
        <v>0.10844464011533894</v>
      </c>
      <c r="G246" s="72" cm="1">
        <f t="array" aca="1" ref="G246" ca="1">IF(ISNUMBER(D246),IF(D246&gt;=101,INDEX($B$133:$B$233,101),INDEX($B$133:$B$233,D246)+(C246-INDEX($C$133:$C$233,D246))/MAX(0.000000000001,INDEX($C$133:$C$233,D246+1)-INDEX($C$133:$C$233,D246))*(INDEX($B$133:$B$233,D246+1)-INDEX($B$133:$B$233,D246))),NA())</f>
        <v>0.25839195967048201</v>
      </c>
    </row>
    <row r="247" spans="2:7" hidden="1" outlineLevel="1" x14ac:dyDescent="0.45">
      <c r="B247" s="73">
        <v>11</v>
      </c>
      <c r="C247" s="67">
        <f ca="1">IF(ISNUMBER($C$133),$C$133+($C$233-$C$133)*11/24,NA())</f>
        <v>-39.195933665010813</v>
      </c>
      <c r="D247" s="74">
        <f t="shared" ca="1" si="3"/>
        <v>37</v>
      </c>
      <c r="E247" s="67">
        <f t="shared" ca="1" si="4"/>
        <v>-33.448086910392689</v>
      </c>
      <c r="F247" s="72">
        <f t="shared" ca="1" si="5"/>
        <v>0.12348156208975541</v>
      </c>
      <c r="G247" s="72" cm="1">
        <f t="array" aca="1" ref="G247" ca="1">IF(ISNUMBER(D247),IF(D247&gt;=101,INDEX($B$133:$B$233,101),INDEX($B$133:$B$233,D247)+(C247-INDEX($C$133:$C$233,D247))/MAX(0.000000000001,INDEX($C$133:$C$233,D247+1)-INDEX($C$133:$C$233,D247))*(INDEX($B$133:$B$233,D247+1)-INDEX($B$133:$B$233,D247))),NA())</f>
        <v>0.36683659978582095</v>
      </c>
    </row>
    <row r="248" spans="2:7" hidden="1" outlineLevel="1" x14ac:dyDescent="0.45">
      <c r="B248" s="73">
        <v>12</v>
      </c>
      <c r="C248" s="67">
        <f ca="1">IF(ISNUMBER($C$133),$C$133+($C$233-$C$133)*12/24,NA())</f>
        <v>-27.700240155774566</v>
      </c>
      <c r="D248" s="74">
        <f t="shared" ca="1" si="3"/>
        <v>50</v>
      </c>
      <c r="E248" s="67">
        <f t="shared" ca="1" si="4"/>
        <v>-21.952393401156442</v>
      </c>
      <c r="F248" s="72">
        <f t="shared" ca="1" si="5"/>
        <v>0.12391199916146417</v>
      </c>
      <c r="G248" s="72" cm="1">
        <f t="array" aca="1" ref="G248" ca="1">IF(ISNUMBER(D248),IF(D248&gt;=101,INDEX($B$133:$B$233,101),INDEX($B$133:$B$233,D248)+(C248-INDEX($C$133:$C$233,D248))/MAX(0.000000000001,INDEX($C$133:$C$233,D248+1)-INDEX($C$133:$C$233,D248))*(INDEX($B$133:$B$233,D248+1)-INDEX($B$133:$B$233,D248))),NA())</f>
        <v>0.49031816187557636</v>
      </c>
    </row>
    <row r="249" spans="2:7" hidden="1" outlineLevel="1" x14ac:dyDescent="0.45">
      <c r="B249" s="73">
        <v>13</v>
      </c>
      <c r="C249" s="67">
        <f ca="1">IF(ISNUMBER($C$133),$C$133+($C$233-$C$133)*13/24,NA())</f>
        <v>-16.204546646538319</v>
      </c>
      <c r="D249" s="74">
        <f t="shared" ca="1" si="3"/>
        <v>62</v>
      </c>
      <c r="E249" s="67">
        <f t="shared" ca="1" si="4"/>
        <v>-10.456699891920195</v>
      </c>
      <c r="F249" s="72">
        <f t="shared" ca="1" si="5"/>
        <v>0.11286536102729616</v>
      </c>
      <c r="G249" s="72" cm="1">
        <f t="array" aca="1" ref="G249" ca="1">IF(ISNUMBER(D249),IF(D249&gt;=101,INDEX($B$133:$B$233,101),INDEX($B$133:$B$233,D249)+(C249-INDEX($C$133:$C$233,D249))/MAX(0.000000000001,INDEX($C$133:$C$233,D249+1)-INDEX($C$133:$C$233,D249))*(INDEX($B$133:$B$233,D249+1)-INDEX($B$133:$B$233,D249))),NA())</f>
        <v>0.61423016103704053</v>
      </c>
    </row>
    <row r="250" spans="2:7" hidden="1" outlineLevel="1" x14ac:dyDescent="0.45">
      <c r="B250" s="73">
        <v>14</v>
      </c>
      <c r="C250" s="67">
        <f ca="1">IF(ISNUMBER($C$133),$C$133+($C$233-$C$133)*14/24,NA())</f>
        <v>-4.7088531373020714</v>
      </c>
      <c r="D250" s="74">
        <f t="shared" ca="1" si="3"/>
        <v>73</v>
      </c>
      <c r="E250" s="67">
        <f t="shared" ca="1" si="4"/>
        <v>1.0389936173160521</v>
      </c>
      <c r="F250" s="72">
        <f t="shared" ca="1" si="5"/>
        <v>8.803617593773605E-2</v>
      </c>
      <c r="G250" s="72" cm="1">
        <f t="array" aca="1" ref="G250" ca="1">IF(ISNUMBER(D250),IF(D250&gt;=101,INDEX($B$133:$B$233,101),INDEX($B$133:$B$233,D250)+(C250-INDEX($C$133:$C$233,D250))/MAX(0.000000000001,INDEX($C$133:$C$233,D250+1)-INDEX($C$133:$C$233,D250))*(INDEX($B$133:$B$233,D250+1)-INDEX($B$133:$B$233,D250))),NA())</f>
        <v>0.7270955220643367</v>
      </c>
    </row>
    <row r="251" spans="2:7" hidden="1" outlineLevel="1" x14ac:dyDescent="0.45">
      <c r="B251" s="73">
        <v>15</v>
      </c>
      <c r="C251" s="67">
        <f ca="1">IF(ISNUMBER($C$133),$C$133+($C$233-$C$133)*15/24,NA())</f>
        <v>6.7868403719341757</v>
      </c>
      <c r="D251" s="74">
        <f t="shared" ca="1" si="3"/>
        <v>82</v>
      </c>
      <c r="E251" s="67">
        <f t="shared" ca="1" si="4"/>
        <v>12.534687126552299</v>
      </c>
      <c r="F251" s="72">
        <f t="shared" ca="1" si="5"/>
        <v>6.2980511508598291E-2</v>
      </c>
      <c r="G251" s="72" cm="1">
        <f t="array" aca="1" ref="G251" ca="1">IF(ISNUMBER(D251),IF(D251&gt;=101,INDEX($B$133:$B$233,101),INDEX($B$133:$B$233,D251)+(C251-INDEX($C$133:$C$233,D251))/MAX(0.000000000001,INDEX($C$133:$C$233,D251+1)-INDEX($C$133:$C$233,D251))*(INDEX($B$133:$B$233,D251+1)-INDEX($B$133:$B$233,D251))),NA())</f>
        <v>0.81513169800207275</v>
      </c>
    </row>
    <row r="252" spans="2:7" hidden="1" outlineLevel="1" x14ac:dyDescent="0.45">
      <c r="B252" s="73">
        <v>16</v>
      </c>
      <c r="C252" s="67">
        <f ca="1">IF(ISNUMBER($C$133),$C$133+($C$233-$C$133)*16/24,NA())</f>
        <v>18.282533881170423</v>
      </c>
      <c r="D252" s="74">
        <f t="shared" ca="1" si="3"/>
        <v>88</v>
      </c>
      <c r="E252" s="67">
        <f t="shared" ca="1" si="4"/>
        <v>24.030380635788532</v>
      </c>
      <c r="F252" s="72">
        <f t="shared" ca="1" si="5"/>
        <v>4.2856691955137638E-2</v>
      </c>
      <c r="G252" s="72" cm="1">
        <f t="array" aca="1" ref="G252" ca="1">IF(ISNUMBER(D252),IF(D252&gt;=101,INDEX($B$133:$B$233,101),INDEX($B$133:$B$233,D252)+(C252-INDEX($C$133:$C$233,D252))/MAX(0.000000000001,INDEX($C$133:$C$233,D252+1)-INDEX($C$133:$C$233,D252))*(INDEX($B$133:$B$233,D252+1)-INDEX($B$133:$B$233,D252))),NA())</f>
        <v>0.87811220951067104</v>
      </c>
    </row>
    <row r="253" spans="2:7" hidden="1" outlineLevel="1" x14ac:dyDescent="0.45">
      <c r="B253" s="73">
        <v>17</v>
      </c>
      <c r="C253" s="67">
        <f ca="1">IF(ISNUMBER($C$133),$C$133+($C$233-$C$133)*17/24,NA())</f>
        <v>29.778227390406641</v>
      </c>
      <c r="D253" s="74">
        <f t="shared" ca="1" si="3"/>
        <v>93</v>
      </c>
      <c r="E253" s="67">
        <f t="shared" ca="1" si="4"/>
        <v>35.526074145024765</v>
      </c>
      <c r="F253" s="72">
        <f t="shared" ca="1" si="5"/>
        <v>2.7498721915933833E-2</v>
      </c>
      <c r="G253" s="72" cm="1">
        <f t="array" aca="1" ref="G253" ca="1">IF(ISNUMBER(D253),IF(D253&gt;=101,INDEX($B$133:$B$233,101),INDEX($B$133:$B$233,D253)+(C253-INDEX($C$133:$C$233,D253))/MAX(0.000000000001,INDEX($C$133:$C$233,D253+1)-INDEX($C$133:$C$233,D253))*(INDEX($B$133:$B$233,D253+1)-INDEX($B$133:$B$233,D253))),NA())</f>
        <v>0.92096890146580868</v>
      </c>
    </row>
    <row r="254" spans="2:7" hidden="1" outlineLevel="1" x14ac:dyDescent="0.45">
      <c r="B254" s="73">
        <v>18</v>
      </c>
      <c r="C254" s="67">
        <f ca="1">IF(ISNUMBER($C$133),$C$133+($C$233-$C$133)*18/24,NA())</f>
        <v>41.273920899642889</v>
      </c>
      <c r="D254" s="74">
        <f t="shared" ca="1" si="3"/>
        <v>95</v>
      </c>
      <c r="E254" s="67">
        <f t="shared" ca="1" si="4"/>
        <v>47.021767654261026</v>
      </c>
      <c r="F254" s="72">
        <f t="shared" ca="1" si="5"/>
        <v>1.6749550631892318E-2</v>
      </c>
      <c r="G254" s="72" cm="1">
        <f t="array" aca="1" ref="G254" ca="1">IF(ISNUMBER(D254),IF(D254&gt;=101,INDEX($B$133:$B$233,101),INDEX($B$133:$B$233,D254)+(C254-INDEX($C$133:$C$233,D254))/MAX(0.000000000001,INDEX($C$133:$C$233,D254+1)-INDEX($C$133:$C$233,D254))*(INDEX($B$133:$B$233,D254+1)-INDEX($B$133:$B$233,D254))),NA())</f>
        <v>0.94846762338174251</v>
      </c>
    </row>
    <row r="255" spans="2:7" hidden="1" outlineLevel="1" x14ac:dyDescent="0.45">
      <c r="B255" s="73">
        <v>19</v>
      </c>
      <c r="C255" s="67">
        <f ca="1">IF(ISNUMBER($C$133),$C$133+($C$233-$C$133)*19/24,NA())</f>
        <v>52.769614408879164</v>
      </c>
      <c r="D255" s="74">
        <f t="shared" ca="1" si="3"/>
        <v>97</v>
      </c>
      <c r="E255" s="67">
        <f t="shared" ca="1" si="4"/>
        <v>58.517461163497288</v>
      </c>
      <c r="F255" s="72">
        <f t="shared" ca="1" si="5"/>
        <v>1.1614683871132736E-2</v>
      </c>
      <c r="G255" s="72" cm="1">
        <f t="array" aca="1" ref="G255" ca="1">IF(ISNUMBER(D255),IF(D255&gt;=101,INDEX($B$133:$B$233,101),INDEX($B$133:$B$233,D255)+(C255-INDEX($C$133:$C$233,D255))/MAX(0.000000000001,INDEX($C$133:$C$233,D255+1)-INDEX($C$133:$C$233,D255))*(INDEX($B$133:$B$233,D255+1)-INDEX($B$133:$B$233,D255))),NA())</f>
        <v>0.96521717401363483</v>
      </c>
    </row>
    <row r="256" spans="2:7" hidden="1" outlineLevel="1" x14ac:dyDescent="0.45">
      <c r="B256" s="73">
        <v>20</v>
      </c>
      <c r="C256" s="67">
        <f ca="1">IF(ISNUMBER($C$133),$C$133+($C$233-$C$133)*20/24,NA())</f>
        <v>64.265307918115411</v>
      </c>
      <c r="D256" s="74">
        <f t="shared" ca="1" si="3"/>
        <v>98</v>
      </c>
      <c r="E256" s="67">
        <f t="shared" ca="1" si="4"/>
        <v>70.013154672733521</v>
      </c>
      <c r="F256" s="72">
        <f t="shared" ca="1" si="5"/>
        <v>6.9746408077905331E-3</v>
      </c>
      <c r="G256" s="72" cm="1">
        <f t="array" aca="1" ref="G256" ca="1">IF(ISNUMBER(D256),IF(D256&gt;=101,INDEX($B$133:$B$233,101),INDEX($B$133:$B$233,D256)+(C256-INDEX($C$133:$C$233,D256))/MAX(0.000000000001,INDEX($C$133:$C$233,D256+1)-INDEX($C$133:$C$233,D256))*(INDEX($B$133:$B$233,D256+1)-INDEX($B$133:$B$233,D256))),NA())</f>
        <v>0.97683185788476756</v>
      </c>
    </row>
    <row r="257" spans="2:7" hidden="1" outlineLevel="1" x14ac:dyDescent="0.45">
      <c r="B257" s="73">
        <v>21</v>
      </c>
      <c r="C257" s="67">
        <f ca="1">IF(ISNUMBER($C$133),$C$133+($C$233-$C$133)*21/24,NA())</f>
        <v>75.76100142735163</v>
      </c>
      <c r="D257" s="74">
        <f t="shared" ca="1" si="3"/>
        <v>99</v>
      </c>
      <c r="E257" s="67">
        <f t="shared" ca="1" si="4"/>
        <v>81.508848181969753</v>
      </c>
      <c r="F257" s="72">
        <f t="shared" ca="1" si="5"/>
        <v>5.5258767985530977E-3</v>
      </c>
      <c r="G257" s="72" cm="1">
        <f t="array" aca="1" ref="G257" ca="1">IF(ISNUMBER(D257),IF(D257&gt;=101,INDEX($B$133:$B$233,101),INDEX($B$133:$B$233,D257)+(C257-INDEX($C$133:$C$233,D257))/MAX(0.000000000001,INDEX($C$133:$C$233,D257+1)-INDEX($C$133:$C$233,D257))*(INDEX($B$133:$B$233,D257+1)-INDEX($B$133:$B$233,D257))),NA())</f>
        <v>0.9838064986925581</v>
      </c>
    </row>
    <row r="258" spans="2:7" hidden="1" outlineLevel="1" x14ac:dyDescent="0.45">
      <c r="B258" s="73">
        <v>22</v>
      </c>
      <c r="C258" s="67">
        <f ca="1">IF(ISNUMBER($C$133),$C$133+($C$233-$C$133)*22/24,NA())</f>
        <v>87.256694936587877</v>
      </c>
      <c r="D258" s="74">
        <f t="shared" ca="1" si="3"/>
        <v>99</v>
      </c>
      <c r="E258" s="67">
        <f t="shared" ca="1" si="4"/>
        <v>93.004541691205986</v>
      </c>
      <c r="F258" s="72">
        <f t="shared" ca="1" si="5"/>
        <v>3.0068925632396049E-3</v>
      </c>
      <c r="G258" s="72" cm="1">
        <f t="array" aca="1" ref="G258" ca="1">IF(ISNUMBER(D258),IF(D258&gt;=101,INDEX($B$133:$B$233,101),INDEX($B$133:$B$233,D258)+(C258-INDEX($C$133:$C$233,D258))/MAX(0.000000000001,INDEX($C$133:$C$233,D258+1)-INDEX($C$133:$C$233,D258))*(INDEX($B$133:$B$233,D258+1)-INDEX($B$133:$B$233,D258))),NA())</f>
        <v>0.98933237549111119</v>
      </c>
    </row>
    <row r="259" spans="2:7" hidden="1" outlineLevel="1" x14ac:dyDescent="0.45">
      <c r="B259" s="73">
        <v>23</v>
      </c>
      <c r="C259" s="67">
        <f ca="1">IF(ISNUMBER($C$133),$C$133+($C$233-$C$133)*23/24,NA())</f>
        <v>98.752388445824096</v>
      </c>
      <c r="D259" s="74">
        <f t="shared" ca="1" si="3"/>
        <v>100</v>
      </c>
      <c r="E259" s="67">
        <f t="shared" ca="1" si="4"/>
        <v>104.50023520044223</v>
      </c>
      <c r="F259" s="72">
        <f t="shared" ca="1" si="5"/>
        <v>2.6607319456491973E-3</v>
      </c>
      <c r="G259" s="72" cm="1">
        <f t="array" aca="1" ref="G259" ca="1">IF(ISNUMBER(D259),IF(D259&gt;=101,INDEX($B$133:$B$233,101),INDEX($B$133:$B$233,D259)+(C259-INDEX($C$133:$C$233,D259))/MAX(0.000000000001,INDEX($C$133:$C$233,D259+1)-INDEX($C$133:$C$233,D259))*(INDEX($B$133:$B$233,D259+1)-INDEX($B$133:$B$233,D259))),NA())</f>
        <v>0.9923392680543508</v>
      </c>
    </row>
    <row r="260" spans="2:7" hidden="1" outlineLevel="1" x14ac:dyDescent="0.45">
      <c r="B260" s="73">
        <v>24</v>
      </c>
      <c r="C260" s="67">
        <f ca="1">IF(ISNUMBER($C$133),$C$133+($C$233-$C$133)*24/24,NA())</f>
        <v>110.24808195506037</v>
      </c>
      <c r="D260" s="74">
        <f t="shared" ca="1" si="3"/>
        <v>101</v>
      </c>
      <c r="G260" s="72" cm="1">
        <f t="array" aca="1" ref="G260" ca="1">IF(ISNUMBER(D260),IF(D260&gt;=101,INDEX($B$133:$B$233,101),INDEX($B$133:$B$233,D260)+(C260-INDEX($C$133:$C$233,D260))/MAX(0.000000000001,INDEX($C$133:$C$233,D260+1)-INDEX($C$133:$C$233,D260))*(INDEX($B$133:$B$233,D260+1)-INDEX($B$133:$B$233,D260))),NA())</f>
        <v>0.995</v>
      </c>
    </row>
  </sheetData>
  <mergeCells count="4">
    <mergeCell ref="B66:G66"/>
    <mergeCell ref="B65:G65"/>
    <mergeCell ref="B67:G67"/>
    <mergeCell ref="B68:G68"/>
  </mergeCells>
  <conditionalFormatting sqref="B7">
    <cfRule type="expression" dxfId="8" priority="2">
      <formula>LEFT($B$7,1)="✗"</formula>
    </cfRule>
  </conditionalFormatting>
  <conditionalFormatting sqref="B6:G6">
    <cfRule type="expression" dxfId="7" priority="1">
      <formula>LEFT($B$6,1)&lt;&gt;"✔"</formula>
    </cfRule>
  </conditionalFormatting>
  <conditionalFormatting sqref="C133:G260">
    <cfRule type="expression" dxfId="6" priority="9">
      <formula>ISNA($C$133)</formula>
    </cfRule>
  </conditionalFormatting>
  <conditionalFormatting sqref="D19">
    <cfRule type="expression" dxfId="5" priority="3">
      <formula>LEFT($D$19,1)="✔"</formula>
    </cfRule>
    <cfRule type="expression" dxfId="4" priority="4">
      <formula>LEFT($D$19,1)="✘"</formula>
    </cfRule>
  </conditionalFormatting>
  <conditionalFormatting sqref="D74:E123">
    <cfRule type="expression" dxfId="3" priority="7">
      <formula>ISNA(D74)</formula>
    </cfRule>
  </conditionalFormatting>
  <conditionalFormatting sqref="E19">
    <cfRule type="expression" dxfId="2" priority="5">
      <formula>LEFT($E$19,1)="✔"</formula>
    </cfRule>
    <cfRule type="expression" dxfId="1" priority="6">
      <formula>LEFT($E$19,1)="✘"</formula>
    </cfRule>
  </conditionalFormatting>
  <conditionalFormatting sqref="F127:G130">
    <cfRule type="expression" dxfId="0" priority="8">
      <formula>ISNA(F127)</formula>
    </cfRule>
  </conditionalFormatting>
  <hyperlinks>
    <hyperlink ref="B4" location="'Portfolio'!A1" display="◂  Portfolio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1969-D8F7-411B-957E-E37E6AB6EFEC}">
  <dimension ref="A1:B1"/>
  <sheetViews>
    <sheetView workbookViewId="0"/>
  </sheetViews>
  <sheetFormatPr defaultRowHeight="14.25" x14ac:dyDescent="0.45"/>
  <sheetData>
    <row r="1" spans="1:2" x14ac:dyDescent="0.45">
      <c r="A1" s="79" t="s">
        <v>224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A16CB-CA6E-42EC-BF85-9B4F6C423927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DB4C-93DB-4E6C-A8EB-57B20BC435C2}">
  <dimension ref="B3:B82"/>
  <sheetViews>
    <sheetView workbookViewId="0"/>
  </sheetViews>
  <sheetFormatPr defaultRowHeight="14.25" x14ac:dyDescent="0.45"/>
  <sheetData>
    <row r="3" spans="2:2" x14ac:dyDescent="0.45">
      <c r="B3">
        <v>3</v>
      </c>
    </row>
    <row r="4" spans="2:2" x14ac:dyDescent="0.45">
      <c r="B4">
        <v>3</v>
      </c>
    </row>
    <row r="5" spans="2:2" x14ac:dyDescent="0.45">
      <c r="B5">
        <v>19</v>
      </c>
    </row>
    <row r="6" spans="2:2" x14ac:dyDescent="0.45">
      <c r="B6">
        <v>88</v>
      </c>
    </row>
    <row r="7" spans="2:2" x14ac:dyDescent="0.45">
      <c r="B7">
        <v>423</v>
      </c>
    </row>
    <row r="8" spans="2:2" x14ac:dyDescent="0.45">
      <c r="B8">
        <v>793</v>
      </c>
    </row>
    <row r="9" spans="2:2" x14ac:dyDescent="0.45">
      <c r="B9">
        <v>487</v>
      </c>
    </row>
    <row r="10" spans="2:2" x14ac:dyDescent="0.45">
      <c r="B10">
        <v>141</v>
      </c>
    </row>
    <row r="11" spans="2:2" x14ac:dyDescent="0.45">
      <c r="B11">
        <v>35</v>
      </c>
    </row>
    <row r="12" spans="2:2" x14ac:dyDescent="0.45">
      <c r="B12">
        <v>8</v>
      </c>
    </row>
    <row r="13" spans="2:2" x14ac:dyDescent="0.45">
      <c r="B13">
        <v>3</v>
      </c>
    </row>
    <row r="14" spans="2:2" x14ac:dyDescent="0.45">
      <c r="B14">
        <v>15</v>
      </c>
    </row>
    <row r="15" spans="2:2" x14ac:dyDescent="0.45">
      <c r="B15">
        <v>57</v>
      </c>
    </row>
    <row r="16" spans="2:2" x14ac:dyDescent="0.45">
      <c r="B16">
        <v>319</v>
      </c>
    </row>
    <row r="17" spans="2:2" x14ac:dyDescent="0.45">
      <c r="B17">
        <v>802</v>
      </c>
    </row>
    <row r="18" spans="2:2" x14ac:dyDescent="0.45">
      <c r="B18">
        <v>615</v>
      </c>
    </row>
    <row r="19" spans="2:2" x14ac:dyDescent="0.45">
      <c r="B19">
        <v>141</v>
      </c>
    </row>
    <row r="20" spans="2:2" x14ac:dyDescent="0.45">
      <c r="B20">
        <v>33</v>
      </c>
    </row>
    <row r="21" spans="2:2" x14ac:dyDescent="0.45">
      <c r="B21">
        <v>11</v>
      </c>
    </row>
    <row r="22" spans="2:2" x14ac:dyDescent="0.45">
      <c r="B22">
        <v>4</v>
      </c>
    </row>
    <row r="23" spans="2:2" x14ac:dyDescent="0.45">
      <c r="B23">
        <v>1</v>
      </c>
    </row>
    <row r="24" spans="2:2" x14ac:dyDescent="0.45">
      <c r="B24">
        <v>0</v>
      </c>
    </row>
    <row r="25" spans="2:2" x14ac:dyDescent="0.45">
      <c r="B25">
        <v>0</v>
      </c>
    </row>
    <row r="26" spans="2:2" x14ac:dyDescent="0.45">
      <c r="B26">
        <v>5</v>
      </c>
    </row>
    <row r="27" spans="2:2" x14ac:dyDescent="0.45">
      <c r="B27">
        <v>40</v>
      </c>
    </row>
    <row r="28" spans="2:2" x14ac:dyDescent="0.45">
      <c r="B28">
        <v>406</v>
      </c>
    </row>
    <row r="29" spans="2:2" x14ac:dyDescent="0.45">
      <c r="B29">
        <v>1083</v>
      </c>
    </row>
    <row r="30" spans="2:2" x14ac:dyDescent="0.45">
      <c r="B30">
        <v>412</v>
      </c>
    </row>
    <row r="31" spans="2:2" x14ac:dyDescent="0.45">
      <c r="B31">
        <v>44</v>
      </c>
    </row>
    <row r="32" spans="2:2" x14ac:dyDescent="0.45">
      <c r="B32">
        <v>9</v>
      </c>
    </row>
    <row r="33" spans="2:2" x14ac:dyDescent="0.45">
      <c r="B33">
        <v>5</v>
      </c>
    </row>
    <row r="34" spans="2:2" x14ac:dyDescent="0.45">
      <c r="B34">
        <v>22</v>
      </c>
    </row>
    <row r="35" spans="2:2" x14ac:dyDescent="0.45">
      <c r="B35">
        <v>124</v>
      </c>
    </row>
    <row r="36" spans="2:2" x14ac:dyDescent="0.45">
      <c r="B36">
        <v>712</v>
      </c>
    </row>
    <row r="37" spans="2:2" x14ac:dyDescent="0.45">
      <c r="B37">
        <v>896</v>
      </c>
    </row>
    <row r="38" spans="2:2" x14ac:dyDescent="0.45">
      <c r="B38">
        <v>201</v>
      </c>
    </row>
    <row r="39" spans="2:2" x14ac:dyDescent="0.45">
      <c r="B39">
        <v>36</v>
      </c>
    </row>
    <row r="40" spans="2:2" x14ac:dyDescent="0.45">
      <c r="B40">
        <v>2</v>
      </c>
    </row>
    <row r="41" spans="2:2" x14ac:dyDescent="0.45">
      <c r="B41">
        <v>1</v>
      </c>
    </row>
    <row r="42" spans="2:2" x14ac:dyDescent="0.45">
      <c r="B42">
        <v>1</v>
      </c>
    </row>
    <row r="43" spans="2:2" x14ac:dyDescent="0.45">
      <c r="B43">
        <v>2</v>
      </c>
    </row>
    <row r="44" spans="2:2" x14ac:dyDescent="0.45">
      <c r="B44">
        <v>13</v>
      </c>
    </row>
    <row r="45" spans="2:2" x14ac:dyDescent="0.45">
      <c r="B45">
        <v>93</v>
      </c>
    </row>
    <row r="46" spans="2:2" x14ac:dyDescent="0.45">
      <c r="B46">
        <v>374</v>
      </c>
    </row>
    <row r="47" spans="2:2" x14ac:dyDescent="0.45">
      <c r="B47">
        <v>633</v>
      </c>
    </row>
    <row r="48" spans="2:2" x14ac:dyDescent="0.45">
      <c r="B48">
        <v>586</v>
      </c>
    </row>
    <row r="49" spans="2:2" x14ac:dyDescent="0.45">
      <c r="B49">
        <v>239</v>
      </c>
    </row>
    <row r="50" spans="2:2" x14ac:dyDescent="0.45">
      <c r="B50">
        <v>52</v>
      </c>
    </row>
    <row r="51" spans="2:2" x14ac:dyDescent="0.45">
      <c r="B51">
        <v>7</v>
      </c>
    </row>
    <row r="52" spans="2:2" x14ac:dyDescent="0.45">
      <c r="B52">
        <v>1</v>
      </c>
    </row>
    <row r="53" spans="2:2" x14ac:dyDescent="0.45">
      <c r="B53">
        <v>6</v>
      </c>
    </row>
    <row r="54" spans="2:2" x14ac:dyDescent="0.45">
      <c r="B54">
        <v>24</v>
      </c>
    </row>
    <row r="55" spans="2:2" x14ac:dyDescent="0.45">
      <c r="B55">
        <v>110</v>
      </c>
    </row>
    <row r="56" spans="2:2" x14ac:dyDescent="0.45">
      <c r="B56">
        <v>483</v>
      </c>
    </row>
    <row r="57" spans="2:2" x14ac:dyDescent="0.45">
      <c r="B57">
        <v>847</v>
      </c>
    </row>
    <row r="58" spans="2:2" x14ac:dyDescent="0.45">
      <c r="B58">
        <v>431</v>
      </c>
    </row>
    <row r="59" spans="2:2" x14ac:dyDescent="0.45">
      <c r="B59">
        <v>80</v>
      </c>
    </row>
    <row r="60" spans="2:2" x14ac:dyDescent="0.45">
      <c r="B60">
        <v>14</v>
      </c>
    </row>
    <row r="61" spans="2:2" x14ac:dyDescent="0.45">
      <c r="B61">
        <v>3</v>
      </c>
    </row>
    <row r="62" spans="2:2" x14ac:dyDescent="0.45">
      <c r="B62">
        <v>2</v>
      </c>
    </row>
    <row r="63" spans="2:2" x14ac:dyDescent="0.45">
      <c r="B63">
        <v>1994</v>
      </c>
    </row>
    <row r="64" spans="2:2" x14ac:dyDescent="0.45">
      <c r="B64">
        <v>0</v>
      </c>
    </row>
    <row r="65" spans="2:2" x14ac:dyDescent="0.45">
      <c r="B65">
        <v>0</v>
      </c>
    </row>
    <row r="66" spans="2:2" x14ac:dyDescent="0.45">
      <c r="B66">
        <v>0</v>
      </c>
    </row>
    <row r="67" spans="2:2" x14ac:dyDescent="0.45">
      <c r="B67">
        <v>0</v>
      </c>
    </row>
    <row r="68" spans="2:2" x14ac:dyDescent="0.45">
      <c r="B68">
        <v>0</v>
      </c>
    </row>
    <row r="69" spans="2:2" x14ac:dyDescent="0.45">
      <c r="B69">
        <v>0</v>
      </c>
    </row>
    <row r="70" spans="2:2" x14ac:dyDescent="0.45">
      <c r="B70">
        <v>0</v>
      </c>
    </row>
    <row r="71" spans="2:2" x14ac:dyDescent="0.45">
      <c r="B71">
        <v>0</v>
      </c>
    </row>
    <row r="72" spans="2:2" x14ac:dyDescent="0.45">
      <c r="B72">
        <v>6</v>
      </c>
    </row>
    <row r="73" spans="2:2" x14ac:dyDescent="0.45">
      <c r="B73">
        <v>1988</v>
      </c>
    </row>
    <row r="74" spans="2:2" x14ac:dyDescent="0.45">
      <c r="B74">
        <v>0</v>
      </c>
    </row>
    <row r="75" spans="2:2" x14ac:dyDescent="0.45">
      <c r="B75">
        <v>0</v>
      </c>
    </row>
    <row r="76" spans="2:2" x14ac:dyDescent="0.45">
      <c r="B76">
        <v>0</v>
      </c>
    </row>
    <row r="77" spans="2:2" x14ac:dyDescent="0.45">
      <c r="B77">
        <v>0</v>
      </c>
    </row>
    <row r="78" spans="2:2" x14ac:dyDescent="0.45">
      <c r="B78">
        <v>0</v>
      </c>
    </row>
    <row r="79" spans="2:2" x14ac:dyDescent="0.45">
      <c r="B79">
        <v>0</v>
      </c>
    </row>
    <row r="80" spans="2:2" x14ac:dyDescent="0.45">
      <c r="B80">
        <v>0</v>
      </c>
    </row>
    <row r="81" spans="2:2" x14ac:dyDescent="0.45">
      <c r="B81">
        <v>0</v>
      </c>
    </row>
    <row r="82" spans="2:2" x14ac:dyDescent="0.45">
      <c r="B82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6CF09A37-3012-4F58-86AD-FF7EAF7607E9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37</vt:i4>
      </vt:variant>
    </vt:vector>
  </HeadingPairs>
  <TitlesOfParts>
    <vt:vector size="44" baseType="lpstr">
      <vt:lpstr>About</vt:lpstr>
      <vt:lpstr>Inputs</vt:lpstr>
      <vt:lpstr>Portfolio</vt:lpstr>
      <vt:lpstr>Results</vt:lpstr>
      <vt:lpstr>ModelRiskDSN</vt:lpstr>
      <vt:lpstr>ModelRiskSYS1</vt:lpstr>
      <vt:lpstr>ModelRiskCharts</vt:lpstr>
      <vt:lpstr>Big_A</vt:lpstr>
      <vt:lpstr>Big_B</vt:lpstr>
      <vt:lpstr>BigLoss</vt:lpstr>
      <vt:lpstr>C_Cred_RE</vt:lpstr>
      <vt:lpstr>C_Eq_Cred</vt:lpstr>
      <vt:lpstr>C_Eq_Gov</vt:lpstr>
      <vt:lpstr>C_Eq_RE</vt:lpstr>
      <vt:lpstr>C_Gov_Cred</vt:lpstr>
      <vt:lpstr>C_Gov_RE</vt:lpstr>
      <vt:lpstr>Checks</vt:lpstr>
      <vt:lpstr>CorrEigen</vt:lpstr>
      <vt:lpstr>CorrMatrix</vt:lpstr>
      <vt:lpstr>Invested</vt:lpstr>
      <vt:lpstr>Loss_A</vt:lpstr>
      <vt:lpstr>Loss_B</vt:lpstr>
      <vt:lpstr>Mu_Cred</vt:lpstr>
      <vt:lpstr>Mu_Eq</vt:lpstr>
      <vt:lpstr>Mu_Gov</vt:lpstr>
      <vt:lpstr>Mu_RE</vt:lpstr>
      <vt:lpstr>NuCop</vt:lpstr>
      <vt:lpstr>NuMarg</vt:lpstr>
      <vt:lpstr>Results!Print_Area</vt:lpstr>
      <vt:lpstr>Inputs!Print_Titles</vt:lpstr>
      <vt:lpstr>Results!Print_Titles</vt:lpstr>
      <vt:lpstr>R_Cred</vt:lpstr>
      <vt:lpstr>R_Eq</vt:lpstr>
      <vt:lpstr>R_Gov</vt:lpstr>
      <vt:lpstr>R_RE</vt:lpstr>
      <vt:lpstr>Sd_Cred</vt:lpstr>
      <vt:lpstr>Sd_Eq</vt:lpstr>
      <vt:lpstr>Sd_Gov</vt:lpstr>
      <vt:lpstr>Sd_RE</vt:lpstr>
      <vt:lpstr>VaRLimit</vt:lpstr>
      <vt:lpstr>W_Cred</vt:lpstr>
      <vt:lpstr>W_Eq</vt:lpstr>
      <vt:lpstr>W_Gov</vt:lpstr>
      <vt:lpstr>W_RE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CF-06 Portfolio Value at Risk and Expected Shortfall</dc:title>
  <dc:subject>ModelRisk industry example library — Corporate finance</dc:subject>
  <dc:creator>Vose Software</dc:creator>
  <cp:keywords>ModelRisk; Monte Carlo; Corporate finance</cp:keywords>
  <dc:description>A reserve portfolio's one-year VaR and expected shortfall: a Normal model against fat tails and a Student copula.</dc:description>
  <cp:lastModifiedBy>Timour Koupeev</cp:lastModifiedBy>
  <cp:lastPrinted>2026-10-05T13:42:58Z</cp:lastPrinted>
  <dcterms:created xsi:type="dcterms:W3CDTF">2026-10-05T13:39:20Z</dcterms:created>
  <dcterms:modified xsi:type="dcterms:W3CDTF">2026-10-05T13:42:59Z</dcterms:modified>
</cp:coreProperties>
</file>