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2800FFCC-45F1-4F8C-9CF4-65CC762DF90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Valuation" sheetId="3" r:id="rId3"/>
    <sheet name="Results" sheetId="4" r:id="rId4"/>
    <sheet name="ModelRiskDSN" sheetId="5" state="hidden" r:id="rId5"/>
    <sheet name="ModelRiskSYS1" sheetId="6" state="hidden" r:id="rId6"/>
    <sheet name="ModelRiskCharts" sheetId="7" state="hidden" r:id="rId7"/>
  </sheets>
  <definedNames>
    <definedName name="BelowPrice">Valuation!$D$57</definedName>
    <definedName name="CapexPct">Inputs!$D$25</definedName>
    <definedName name="CapexPct_Hi">Inputs!$H$25</definedName>
    <definedName name="CapexPct_Lo">Inputs!$F$25</definedName>
    <definedName name="CapexPct_Mean">Inputs!$I$25</definedName>
    <definedName name="CapexPct_ML">Inputs!$G$25</definedName>
    <definedName name="Checks">Valuation!$D$62:$D$63</definedName>
    <definedName name="Confidence">Inputs!$D$14</definedName>
    <definedName name="Corr_GM">Inputs!$D$22</definedName>
    <definedName name="DA">Inputs!$D$26</definedName>
    <definedName name="EV">Valuation!$D$53</definedName>
    <definedName name="EV_ML">Valuation!$D$58</definedName>
    <definedName name="EV_Mult">Valuation!$D$54</definedName>
    <definedName name="ExitMult">Inputs!$D$35</definedName>
    <definedName name="ExitMult_Hi">Inputs!$H$35</definedName>
    <definedName name="ExitMult_Lo">Inputs!$F$35</definedName>
    <definedName name="ExitMult_Mean">Inputs!$I$35</definedName>
    <definedName name="ExitMult_ML">Inputs!$G$35</definedName>
    <definedName name="Growth">Inputs!$D$19</definedName>
    <definedName name="Growth_Hi">Inputs!$H$19</definedName>
    <definedName name="Growth_Lo">Inputs!$F$19</definedName>
    <definedName name="Growth_Mean">Inputs!$I$19</definedName>
    <definedName name="Growth_ML">Inputs!$G$19</definedName>
    <definedName name="ImpliedMult">Valuation!$D$56</definedName>
    <definedName name="InputMeans">Inputs!$I$19:$I$35</definedName>
    <definedName name="M0">Inputs!$D$13</definedName>
    <definedName name="MarginSS">Inputs!$D$20</definedName>
    <definedName name="MarginSS_Hi">Inputs!$H$20</definedName>
    <definedName name="MarginSS_Lo">Inputs!$F$20</definedName>
    <definedName name="MarginSS_Mean">Inputs!$I$20</definedName>
    <definedName name="MarginSS_ML">Inputs!$G$20</definedName>
    <definedName name="NWCPct">Inputs!$D$27</definedName>
    <definedName name="Price">Inputs!$D$11</definedName>
    <definedName name="_xlnm.Print_Area" localSheetId="3">Results!$A$1:$R$63</definedName>
    <definedName name="_xlnm.Print_Titles" localSheetId="1">Inputs!$1:$4</definedName>
    <definedName name="_xlnm.Print_Titles" localSheetId="3">Results!$1:$4</definedName>
    <definedName name="_xlnm.Print_Titles" localSheetId="2">Valuation!$6:$7,Valuation!$A:$D</definedName>
    <definedName name="PV_TV">Valuation!$D$47</definedName>
    <definedName name="PV_TVM">Valuation!$D$48</definedName>
    <definedName name="PV_Years">Valuation!$D$46</definedName>
    <definedName name="RampYears">Inputs!$D$21</definedName>
    <definedName name="Rev0">Inputs!$D$12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pread">Valuation!$D$38</definedName>
    <definedName name="TaxRate">Inputs!$D$28</definedName>
    <definedName name="TermGrowth">Inputs!$D$34</definedName>
    <definedName name="TermGrowth_Hi">Inputs!$H$34</definedName>
    <definedName name="TermGrowth_Lo">Inputs!$F$34</definedName>
    <definedName name="TermGrowth_Mean">Inputs!$I$34</definedName>
    <definedName name="TermGrowth_ML">Inputs!$G$34</definedName>
    <definedName name="TV_G">Valuation!$D$39</definedName>
    <definedName name="TV_M">Valuation!$D$40</definedName>
    <definedName name="TV_ML">Valuation!$D$41</definedName>
    <definedName name="TVShare">Valuation!$D$55</definedName>
    <definedName name="U_G">Inputs!$D$23</definedName>
    <definedName name="U_M">Inputs!$D$24</definedName>
    <definedName name="WACC">Inputs!$D$33</definedName>
    <definedName name="WACC_Hi">Inputs!$H$33</definedName>
    <definedName name="WACC_Lo">Inputs!$F$33</definedName>
    <definedName name="WACC_Mean">Inputs!$I$33</definedName>
    <definedName name="WACC_ML">Inputs!$G$33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8" i="4" l="1"/>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B18" i="4"/>
  <c r="D12" i="4"/>
  <c r="D63" i="3"/>
  <c r="F25" i="3"/>
  <c r="F24" i="3"/>
  <c r="F26" i="3" s="1"/>
  <c r="F12" i="3"/>
  <c r="F11" i="3"/>
  <c r="F13" i="3" s="1"/>
  <c r="G6" i="3"/>
  <c r="G24" i="3" s="1"/>
  <c r="D23" i="2" a="1"/>
  <c r="D24" i="2" s="1"/>
  <c r="H6" i="3"/>
  <c r="I6" i="3" s="1"/>
  <c r="G25" i="3"/>
  <c r="G32" i="3"/>
  <c r="I20" i="2" a="1"/>
  <c r="I35" i="2" a="1"/>
  <c r="D20" i="2" a="1"/>
  <c r="D33" i="2" a="1"/>
  <c r="I33" i="2" a="1"/>
  <c r="D25" i="2" a="1"/>
  <c r="I19" i="2" a="1"/>
  <c r="D34" i="2" a="1"/>
  <c r="I25" i="2" a="1"/>
  <c r="D35" i="2" a="1"/>
  <c r="I34" i="2" a="1"/>
  <c r="H24" i="3" l="1"/>
  <c r="H30" i="3" s="1"/>
  <c r="H32" i="3"/>
  <c r="H25" i="3"/>
  <c r="I25" i="3"/>
  <c r="J6" i="3"/>
  <c r="I32" i="3"/>
  <c r="I24" i="3"/>
  <c r="G29" i="3"/>
  <c r="G27" i="3"/>
  <c r="G30" i="3"/>
  <c r="G26" i="3"/>
  <c r="I34" i="2"/>
  <c r="D35" i="2"/>
  <c r="I25" i="2"/>
  <c r="D34" i="2"/>
  <c r="I19" i="2"/>
  <c r="D25" i="2"/>
  <c r="I33" i="2"/>
  <c r="D33" i="2"/>
  <c r="D20" i="2"/>
  <c r="I35" i="2"/>
  <c r="I20" i="2"/>
  <c r="D23" i="2"/>
  <c r="D19" i="2" a="1"/>
  <c r="H26" i="3" l="1"/>
  <c r="D62" i="3"/>
  <c r="B7" i="4" s="1"/>
  <c r="H27" i="3"/>
  <c r="H29" i="3"/>
  <c r="I26" i="3"/>
  <c r="I29" i="3"/>
  <c r="I27" i="3"/>
  <c r="I30" i="3"/>
  <c r="H12" i="3"/>
  <c r="G12" i="3"/>
  <c r="I12" i="3"/>
  <c r="J12" i="3"/>
  <c r="K6" i="3"/>
  <c r="K12" i="3" s="1"/>
  <c r="J32" i="3"/>
  <c r="J25" i="3"/>
  <c r="J24" i="3"/>
  <c r="G19" i="3"/>
  <c r="H19" i="3"/>
  <c r="J19" i="3"/>
  <c r="I19" i="3"/>
  <c r="D38" i="3"/>
  <c r="K19" i="3"/>
  <c r="G28" i="3"/>
  <c r="G31" i="3" s="1"/>
  <c r="G33" i="3" s="1"/>
  <c r="D19" i="2"/>
  <c r="H28" i="3" l="1"/>
  <c r="H31" i="3" s="1"/>
  <c r="H33" i="3" s="1"/>
  <c r="J29" i="3"/>
  <c r="J26" i="3"/>
  <c r="J27" i="3"/>
  <c r="J30" i="3"/>
  <c r="H11" i="3"/>
  <c r="K11" i="3"/>
  <c r="G11" i="3"/>
  <c r="I11" i="3"/>
  <c r="J11" i="3"/>
  <c r="K24" i="3"/>
  <c r="K32" i="3"/>
  <c r="K25" i="3"/>
  <c r="I28" i="3"/>
  <c r="I31" i="3" s="1"/>
  <c r="I33" i="3" s="1"/>
  <c r="I13" i="3" l="1"/>
  <c r="I14" i="3"/>
  <c r="I17" i="3"/>
  <c r="I16" i="3"/>
  <c r="G17" i="3"/>
  <c r="G13" i="3"/>
  <c r="G14" i="3"/>
  <c r="G16" i="3"/>
  <c r="K17" i="3"/>
  <c r="K14" i="3"/>
  <c r="K13" i="3"/>
  <c r="K16" i="3"/>
  <c r="H14" i="3"/>
  <c r="H17" i="3"/>
  <c r="H13" i="3"/>
  <c r="H15" i="3" s="1"/>
  <c r="H16" i="3"/>
  <c r="J28" i="3"/>
  <c r="J31" i="3" s="1"/>
  <c r="J33" i="3" s="1"/>
  <c r="K26" i="3"/>
  <c r="K30" i="3"/>
  <c r="K27" i="3"/>
  <c r="K29" i="3"/>
  <c r="J17" i="3"/>
  <c r="J14" i="3"/>
  <c r="J13" i="3"/>
  <c r="J16" i="3"/>
  <c r="H18" i="3" l="1"/>
  <c r="H20" i="3" s="1"/>
  <c r="G15" i="3"/>
  <c r="G18" i="3" s="1"/>
  <c r="G20" i="3" s="1"/>
  <c r="K15" i="3"/>
  <c r="K18" i="3" s="1"/>
  <c r="D40" i="3"/>
  <c r="D48" i="3" s="1"/>
  <c r="I15" i="3"/>
  <c r="I18" i="3" s="1"/>
  <c r="I20" i="3" s="1"/>
  <c r="K28" i="3"/>
  <c r="K31" i="3" s="1"/>
  <c r="J15" i="3"/>
  <c r="J18" i="3" s="1"/>
  <c r="J20" i="3" s="1"/>
  <c r="K20" i="3" l="1"/>
  <c r="D20" i="3" s="1"/>
  <c r="D46" i="3" s="1"/>
  <c r="D39" i="3"/>
  <c r="K33" i="3"/>
  <c r="D33" i="3" s="1"/>
  <c r="D41" i="3"/>
  <c r="D54" i="3" l="1" a="1"/>
  <c r="D54" i="3" s="1"/>
  <c r="D58" i="3"/>
  <c r="D13" i="4" s="1"/>
  <c r="D56" i="3" a="1"/>
  <c r="D56" i="3" s="1"/>
  <c r="D47" i="3"/>
  <c r="E112" i="4" a="1"/>
  <c r="E73" i="4" a="1"/>
  <c r="E93" i="4" a="1"/>
  <c r="F24" i="4" a="1"/>
  <c r="E24" i="4" a="1"/>
  <c r="E79" i="4" a="1"/>
  <c r="G24" i="4" a="1"/>
  <c r="E76" i="4" a="1"/>
  <c r="E90" i="4" a="1"/>
  <c r="E82" i="4" a="1"/>
  <c r="E88" i="4" a="1"/>
  <c r="E69" i="4" a="1"/>
  <c r="E96" i="4" a="1"/>
  <c r="D17" i="4" a="1"/>
  <c r="E105" i="4" a="1"/>
  <c r="E109" i="4" a="1"/>
  <c r="E101" i="4" a="1"/>
  <c r="E107" i="4" a="1"/>
  <c r="E118" i="4" a="1"/>
  <c r="E116" i="4" a="1"/>
  <c r="E98" i="4" a="1"/>
  <c r="E92" i="4" a="1"/>
  <c r="E77" i="4" a="1"/>
  <c r="E74" i="4" a="1"/>
  <c r="E89" i="4" a="1"/>
  <c r="E103" i="4" a="1"/>
  <c r="E70" i="4" a="1"/>
  <c r="E100" i="4" a="1"/>
  <c r="E85" i="4" a="1"/>
  <c r="E115" i="4" a="1"/>
  <c r="E71" i="4" a="1"/>
  <c r="E75" i="4" a="1"/>
  <c r="E99" i="4" a="1"/>
  <c r="E108" i="4" a="1"/>
  <c r="E110" i="4" a="1"/>
  <c r="E97" i="4" a="1"/>
  <c r="E117" i="4" a="1"/>
  <c r="E95" i="4" a="1"/>
  <c r="D24" i="4" a="1"/>
  <c r="E80" i="4" a="1"/>
  <c r="E84" i="4" a="1"/>
  <c r="E104" i="4" a="1"/>
  <c r="E83" i="4" a="1"/>
  <c r="E113" i="4" a="1"/>
  <c r="E91" i="4" a="1"/>
  <c r="E102" i="4" a="1"/>
  <c r="E94" i="4" a="1"/>
  <c r="E78" i="4" a="1"/>
  <c r="E72" i="4" a="1"/>
  <c r="E81" i="4" a="1"/>
  <c r="E111" i="4" a="1"/>
  <c r="E87" i="4" a="1"/>
  <c r="E86" i="4" a="1"/>
  <c r="E106" i="4" a="1"/>
  <c r="E114" i="4" a="1"/>
  <c r="E26" i="4" a="1"/>
  <c r="F26" i="4" a="1"/>
  <c r="D26" i="4" a="1"/>
  <c r="G26" i="4" a="1"/>
  <c r="G26" i="4" l="1"/>
  <c r="D26" i="4"/>
  <c r="F26" i="4"/>
  <c r="E26" i="4"/>
  <c r="E114" i="4"/>
  <c r="E106" i="4"/>
  <c r="E86" i="4"/>
  <c r="E87" i="4"/>
  <c r="E111" i="4"/>
  <c r="E81" i="4"/>
  <c r="E72" i="4"/>
  <c r="E78" i="4"/>
  <c r="E94" i="4"/>
  <c r="E102" i="4"/>
  <c r="E91" i="4"/>
  <c r="E113" i="4"/>
  <c r="E83" i="4"/>
  <c r="E104" i="4"/>
  <c r="E84" i="4"/>
  <c r="E80" i="4"/>
  <c r="D24" i="4"/>
  <c r="E95" i="4"/>
  <c r="E117" i="4"/>
  <c r="E97" i="4"/>
  <c r="E110" i="4"/>
  <c r="E108" i="4"/>
  <c r="E99" i="4"/>
  <c r="E75" i="4"/>
  <c r="E71" i="4"/>
  <c r="E115" i="4"/>
  <c r="E85" i="4"/>
  <c r="E100" i="4"/>
  <c r="E70" i="4"/>
  <c r="E103" i="4"/>
  <c r="E89" i="4"/>
  <c r="E74" i="4"/>
  <c r="E77" i="4"/>
  <c r="E92" i="4"/>
  <c r="E98" i="4"/>
  <c r="E116" i="4"/>
  <c r="E118" i="4"/>
  <c r="E107" i="4"/>
  <c r="E101" i="4"/>
  <c r="E109" i="4"/>
  <c r="E105" i="4"/>
  <c r="D17" i="4"/>
  <c r="E96" i="4"/>
  <c r="E69" i="4"/>
  <c r="E88" i="4"/>
  <c r="E82" i="4"/>
  <c r="E90" i="4"/>
  <c r="E76" i="4"/>
  <c r="G24" i="4"/>
  <c r="E79" i="4"/>
  <c r="E24" i="4"/>
  <c r="F24" i="4"/>
  <c r="E93" i="4"/>
  <c r="E73" i="4"/>
  <c r="E112" i="4"/>
  <c r="D53" i="3" a="1"/>
  <c r="D53" i="3" s="1"/>
  <c r="D120" i="4" a="1"/>
  <c r="C162" i="4" a="1"/>
  <c r="D95" i="4" a="1"/>
  <c r="C218" i="4" a="1"/>
  <c r="D114" i="4" a="1"/>
  <c r="C139" i="4" a="1"/>
  <c r="D69" i="4" a="1"/>
  <c r="D86" i="4" a="1"/>
  <c r="C167" i="4" a="1"/>
  <c r="E23" i="4" a="1"/>
  <c r="C185" i="4" a="1"/>
  <c r="C184" i="4" a="1"/>
  <c r="C228" i="4" a="1"/>
  <c r="C206" i="4" a="1"/>
  <c r="C154" i="4" a="1"/>
  <c r="D104" i="4" a="1"/>
  <c r="D82" i="4" a="1"/>
  <c r="C221" i="4" a="1"/>
  <c r="C173" i="4" a="1"/>
  <c r="C220" i="4" a="1"/>
  <c r="C164" i="4" a="1"/>
  <c r="D115" i="4" a="1"/>
  <c r="D87" i="4" a="1"/>
  <c r="C191" i="4" a="1"/>
  <c r="D14" i="4" a="1"/>
  <c r="C194" i="4" a="1"/>
  <c r="C211" i="4" a="1"/>
  <c r="C158" i="4" a="1"/>
  <c r="C224" i="4" a="1"/>
  <c r="D89" i="4" a="1"/>
  <c r="C135" i="4" a="1"/>
  <c r="C150" i="4" a="1"/>
  <c r="D78" i="4" a="1"/>
  <c r="C216" i="4" a="1"/>
  <c r="D111" i="4" a="1"/>
  <c r="C142" i="4" a="1"/>
  <c r="D72" i="4" a="1"/>
  <c r="C157" i="4" a="1"/>
  <c r="C156" i="4" a="1"/>
  <c r="C186" i="4" a="1"/>
  <c r="C130" i="4" a="1"/>
  <c r="D98" i="4" a="1"/>
  <c r="D70" i="4" a="1"/>
  <c r="C205" i="4" a="1"/>
  <c r="C153" i="4" a="1"/>
  <c r="C196" i="4" a="1"/>
  <c r="C152" i="4" a="1"/>
  <c r="D103" i="4" a="1"/>
  <c r="D79" i="4" a="1"/>
  <c r="C147" i="4" a="1"/>
  <c r="C151" i="4" a="1"/>
  <c r="C214" i="4" a="1"/>
  <c r="D110" i="4" a="1"/>
  <c r="C225" i="4" a="1"/>
  <c r="C176" i="4" a="1"/>
  <c r="C217" i="4" a="1"/>
  <c r="C226" i="4" a="1"/>
  <c r="C182" i="4" a="1"/>
  <c r="D118" i="4" a="1"/>
  <c r="D94" i="4" a="1"/>
  <c r="F23" i="4" a="1"/>
  <c r="C193" i="4" a="1"/>
  <c r="C149" i="4" a="1"/>
  <c r="C192" i="4" a="1"/>
  <c r="C144" i="4" a="1"/>
  <c r="D101" i="4" a="1"/>
  <c r="D73" i="4" a="1"/>
  <c r="C207" i="4" a="1"/>
  <c r="C203" i="4" a="1"/>
  <c r="D84" i="4" a="1"/>
  <c r="C181" i="4" a="1"/>
  <c r="D117" i="4" a="1"/>
  <c r="D23" i="4" a="1"/>
  <c r="C195" i="4" a="1"/>
  <c r="D102" i="4" a="1"/>
  <c r="C161" i="4" a="1"/>
  <c r="C160" i="4" a="1"/>
  <c r="D85" i="4" a="1"/>
  <c r="C219" i="4" a="1"/>
  <c r="C190" i="4" a="1"/>
  <c r="D100" i="4" a="1"/>
  <c r="C213" i="4" a="1"/>
  <c r="C208" i="4" a="1"/>
  <c r="D105" i="4" a="1"/>
  <c r="D83" i="4" a="1"/>
  <c r="C179" i="4" a="1"/>
  <c r="C155" i="4" a="1"/>
  <c r="C222" i="4" a="1"/>
  <c r="C174" i="4" a="1"/>
  <c r="D116" i="4" a="1"/>
  <c r="D88" i="4" a="1"/>
  <c r="B6" i="4" a="1"/>
  <c r="C189" i="4" a="1"/>
  <c r="C137" i="4" a="1"/>
  <c r="C188" i="4" a="1"/>
  <c r="C132" i="4" a="1"/>
  <c r="D99" i="4" a="1"/>
  <c r="D71" i="4" a="1"/>
  <c r="C143" i="4" a="1"/>
  <c r="C171" i="4" a="1"/>
  <c r="C210" i="4" a="1"/>
  <c r="C178" i="4" a="1"/>
  <c r="C146" i="4" a="1"/>
  <c r="D112" i="4" a="1"/>
  <c r="D96" i="4" a="1"/>
  <c r="D80" i="4" a="1"/>
  <c r="C141" i="4" a="1"/>
  <c r="C209" i="4" a="1"/>
  <c r="C177" i="4" a="1"/>
  <c r="C145" i="4" a="1"/>
  <c r="C212" i="4" a="1"/>
  <c r="C180" i="4" a="1"/>
  <c r="C148" i="4" a="1"/>
  <c r="D113" i="4" a="1"/>
  <c r="D97" i="4" a="1"/>
  <c r="D81" i="4" a="1"/>
  <c r="C223" i="4" a="1"/>
  <c r="C175" i="4" a="1"/>
  <c r="C187" i="4" a="1"/>
  <c r="C227" i="4" a="1"/>
  <c r="B47" i="4" a="1"/>
  <c r="C170" i="4" a="1"/>
  <c r="C138" i="4" a="1"/>
  <c r="D108" i="4" a="1"/>
  <c r="D92" i="4" a="1"/>
  <c r="D76" i="4" a="1"/>
  <c r="D16" i="4" a="1"/>
  <c r="C201" i="4" a="1"/>
  <c r="C169" i="4" a="1"/>
  <c r="C133" i="4" a="1"/>
  <c r="C204" i="4" a="1"/>
  <c r="C172" i="4" a="1"/>
  <c r="C140" i="4" a="1"/>
  <c r="D109" i="4" a="1"/>
  <c r="D93" i="4" a="1"/>
  <c r="D77" i="4" a="1"/>
  <c r="C159" i="4" a="1"/>
  <c r="G23" i="4" a="1"/>
  <c r="C215" i="4" a="1"/>
  <c r="C163" i="4" a="1"/>
  <c r="C202" i="4" a="1"/>
  <c r="C198" i="4" a="1"/>
  <c r="C166" i="4" a="1"/>
  <c r="C134" i="4" a="1"/>
  <c r="D106" i="4" a="1"/>
  <c r="D90" i="4" a="1"/>
  <c r="D74" i="4" a="1"/>
  <c r="C229" i="4" a="1"/>
  <c r="C197" i="4" a="1"/>
  <c r="C165" i="4" a="1"/>
  <c r="C129" i="4" a="1"/>
  <c r="C200" i="4" a="1"/>
  <c r="C168" i="4" a="1"/>
  <c r="C136" i="4" a="1"/>
  <c r="D107" i="4" a="1"/>
  <c r="D91" i="4" a="1"/>
  <c r="D75" i="4" a="1"/>
  <c r="D18" i="4" a="1"/>
  <c r="C199" i="4" a="1"/>
  <c r="C183" i="4" a="1"/>
  <c r="C131" i="4" a="1"/>
  <c r="C131" i="4" l="1"/>
  <c r="C183" i="4"/>
  <c r="C199" i="4"/>
  <c r="D18" i="4"/>
  <c r="D75" i="4"/>
  <c r="D91" i="4"/>
  <c r="D107" i="4"/>
  <c r="C136" i="4"/>
  <c r="C168" i="4"/>
  <c r="C200" i="4"/>
  <c r="C129" i="4"/>
  <c r="C165" i="4"/>
  <c r="C197" i="4"/>
  <c r="C229" i="4"/>
  <c r="D74" i="4"/>
  <c r="D90" i="4"/>
  <c r="D106" i="4"/>
  <c r="C134" i="4"/>
  <c r="C166" i="4"/>
  <c r="C198" i="4"/>
  <c r="C202" i="4"/>
  <c r="C163" i="4"/>
  <c r="C215" i="4"/>
  <c r="G23" i="4"/>
  <c r="C159" i="4"/>
  <c r="D77" i="4"/>
  <c r="D93" i="4"/>
  <c r="D109" i="4"/>
  <c r="C140" i="4"/>
  <c r="C172" i="4"/>
  <c r="C204" i="4"/>
  <c r="C133" i="4"/>
  <c r="C169" i="4"/>
  <c r="C201" i="4"/>
  <c r="D16" i="4"/>
  <c r="D76" i="4"/>
  <c r="D92" i="4"/>
  <c r="D108" i="4"/>
  <c r="C138" i="4"/>
  <c r="C170" i="4"/>
  <c r="C51" i="4"/>
  <c r="E48" i="4"/>
  <c r="D49" i="4"/>
  <c r="C49" i="4"/>
  <c r="B47" i="4"/>
  <c r="B122" i="4" s="1"/>
  <c r="B48" i="4"/>
  <c r="B123" i="4" s="1"/>
  <c r="B51" i="4"/>
  <c r="B126" i="4" s="1"/>
  <c r="D50" i="4"/>
  <c r="E51" i="4"/>
  <c r="B50" i="4"/>
  <c r="B125" i="4" s="1"/>
  <c r="B49" i="4"/>
  <c r="B124" i="4" s="1"/>
  <c r="C50" i="4"/>
  <c r="C47" i="4"/>
  <c r="E49" i="4"/>
  <c r="C48" i="4"/>
  <c r="E50" i="4"/>
  <c r="E47" i="4"/>
  <c r="D51" i="4"/>
  <c r="D48" i="4"/>
  <c r="D47" i="4"/>
  <c r="C227" i="4"/>
  <c r="C187" i="4"/>
  <c r="C175" i="4"/>
  <c r="C223" i="4"/>
  <c r="D81" i="4"/>
  <c r="D97" i="4"/>
  <c r="D113" i="4"/>
  <c r="C148" i="4"/>
  <c r="C180" i="4"/>
  <c r="C212" i="4"/>
  <c r="C145" i="4"/>
  <c r="C177" i="4"/>
  <c r="C209" i="4"/>
  <c r="C141" i="4"/>
  <c r="D80" i="4"/>
  <c r="D96" i="4"/>
  <c r="D112" i="4"/>
  <c r="C146" i="4"/>
  <c r="C178" i="4"/>
  <c r="C210" i="4"/>
  <c r="C171" i="4"/>
  <c r="C143" i="4"/>
  <c r="D71" i="4"/>
  <c r="D99" i="4"/>
  <c r="C132" i="4"/>
  <c r="C188" i="4"/>
  <c r="C137" i="4"/>
  <c r="C189" i="4"/>
  <c r="B6" i="4"/>
  <c r="D88" i="4"/>
  <c r="D116" i="4"/>
  <c r="C174" i="4"/>
  <c r="C222" i="4"/>
  <c r="C155" i="4"/>
  <c r="C179" i="4"/>
  <c r="D83" i="4"/>
  <c r="D105" i="4"/>
  <c r="C208" i="4"/>
  <c r="C213" i="4"/>
  <c r="D100" i="4"/>
  <c r="C190" i="4"/>
  <c r="C219" i="4"/>
  <c r="D85" i="4"/>
  <c r="C160" i="4"/>
  <c r="C161" i="4"/>
  <c r="D102" i="4"/>
  <c r="C195" i="4"/>
  <c r="D23" i="4"/>
  <c r="D117" i="4"/>
  <c r="C181" i="4"/>
  <c r="D84" i="4"/>
  <c r="C203" i="4"/>
  <c r="C207" i="4"/>
  <c r="D73" i="4"/>
  <c r="D101" i="4"/>
  <c r="C144" i="4"/>
  <c r="C192" i="4"/>
  <c r="C149" i="4"/>
  <c r="C193" i="4"/>
  <c r="F23" i="4"/>
  <c r="D94" i="4"/>
  <c r="D118" i="4"/>
  <c r="C182" i="4"/>
  <c r="C226" i="4"/>
  <c r="C217" i="4"/>
  <c r="C176" i="4"/>
  <c r="C225" i="4"/>
  <c r="D110" i="4"/>
  <c r="C214" i="4"/>
  <c r="C151" i="4"/>
  <c r="C147" i="4"/>
  <c r="D79" i="4"/>
  <c r="D103" i="4"/>
  <c r="C152" i="4"/>
  <c r="C196" i="4"/>
  <c r="C153" i="4"/>
  <c r="C205" i="4"/>
  <c r="D70" i="4"/>
  <c r="D98" i="4"/>
  <c r="C130" i="4"/>
  <c r="C186" i="4"/>
  <c r="C156" i="4"/>
  <c r="C157" i="4"/>
  <c r="D72" i="4"/>
  <c r="C142" i="4"/>
  <c r="D111" i="4"/>
  <c r="C216" i="4"/>
  <c r="D78" i="4"/>
  <c r="C150" i="4"/>
  <c r="C135" i="4"/>
  <c r="D89" i="4"/>
  <c r="C224" i="4"/>
  <c r="C158" i="4"/>
  <c r="C211" i="4"/>
  <c r="C194" i="4"/>
  <c r="D14" i="4"/>
  <c r="C191" i="4"/>
  <c r="D87" i="4"/>
  <c r="D115" i="4"/>
  <c r="C164" i="4"/>
  <c r="C220" i="4"/>
  <c r="C173" i="4"/>
  <c r="C221" i="4"/>
  <c r="D82" i="4"/>
  <c r="D104" i="4"/>
  <c r="C154" i="4"/>
  <c r="C206" i="4"/>
  <c r="C228" i="4"/>
  <c r="C184" i="4"/>
  <c r="C185" i="4"/>
  <c r="E23" i="4"/>
  <c r="C167" i="4"/>
  <c r="D86" i="4"/>
  <c r="D69" i="4"/>
  <c r="C139" i="4"/>
  <c r="D114" i="4"/>
  <c r="C218" i="4"/>
  <c r="D95" i="4"/>
  <c r="C162" i="4"/>
  <c r="D120" i="4"/>
  <c r="D57" i="3" a="1"/>
  <c r="D57" i="3" s="1"/>
  <c r="D55" i="3" a="1"/>
  <c r="D55" i="3" s="1"/>
  <c r="E25" i="4" a="1"/>
  <c r="G25" i="4" a="1"/>
  <c r="F25" i="4" a="1"/>
  <c r="D25" i="4" a="1"/>
  <c r="D15" i="4" a="1"/>
  <c r="G122" i="4" l="1"/>
  <c r="D15" i="4"/>
  <c r="D25" i="4"/>
  <c r="F25" i="4"/>
  <c r="G25" i="4"/>
  <c r="E25" i="4"/>
  <c r="F125" i="4"/>
  <c r="G123" i="4"/>
  <c r="F124" i="4"/>
  <c r="C245" i="4"/>
  <c r="C238" i="4"/>
  <c r="C234" i="4"/>
  <c r="C255" i="4"/>
  <c r="C237" i="4"/>
  <c r="C232" i="4"/>
  <c r="C249" i="4"/>
  <c r="C248" i="4"/>
  <c r="C256" i="4"/>
  <c r="D256" i="4" s="1"/>
  <c r="G256" i="4" s="1" a="1"/>
  <c r="G256" i="4" s="1"/>
  <c r="C244" i="4"/>
  <c r="C233" i="4"/>
  <c r="C246" i="4"/>
  <c r="C251" i="4"/>
  <c r="C250" i="4"/>
  <c r="C254" i="4"/>
  <c r="C243" i="4"/>
  <c r="C235" i="4"/>
  <c r="C241" i="4"/>
  <c r="C247" i="4"/>
  <c r="C239" i="4"/>
  <c r="C252" i="4"/>
  <c r="C253" i="4"/>
  <c r="C242" i="4"/>
  <c r="C240" i="4"/>
  <c r="C236" i="4"/>
  <c r="F122" i="4"/>
  <c r="G125" i="4"/>
  <c r="G124" i="4"/>
  <c r="F123" i="4"/>
  <c r="F126" i="4"/>
  <c r="G126" i="4"/>
  <c r="E242" i="4" l="1"/>
  <c r="D242" i="4"/>
  <c r="G242" i="4" s="1" a="1"/>
  <c r="G242" i="4" s="1"/>
  <c r="E237" i="4"/>
  <c r="D237" i="4"/>
  <c r="G237" i="4" s="1" a="1"/>
  <c r="G237" i="4" s="1"/>
  <c r="D246" i="4"/>
  <c r="G246" i="4" s="1" a="1"/>
  <c r="G246" i="4" s="1"/>
  <c r="E246" i="4"/>
  <c r="E236" i="4"/>
  <c r="D236" i="4"/>
  <c r="G236" i="4" s="1" a="1"/>
  <c r="G236" i="4" s="1"/>
  <c r="E240" i="4"/>
  <c r="D240" i="4"/>
  <c r="G240" i="4" s="1" a="1"/>
  <c r="G240" i="4" s="1"/>
  <c r="D248" i="4"/>
  <c r="G248" i="4" s="1" a="1"/>
  <c r="G248" i="4" s="1"/>
  <c r="E248" i="4"/>
  <c r="E249" i="4"/>
  <c r="D249" i="4"/>
  <c r="G249" i="4" s="1" a="1"/>
  <c r="G249" i="4" s="1"/>
  <c r="D250" i="4"/>
  <c r="G250" i="4" s="1" a="1"/>
  <c r="G250" i="4" s="1"/>
  <c r="E250" i="4"/>
  <c r="D252" i="4"/>
  <c r="G252" i="4" s="1" a="1"/>
  <c r="G252" i="4" s="1"/>
  <c r="E252" i="4"/>
  <c r="E255" i="4"/>
  <c r="D255" i="4"/>
  <c r="G255" i="4" s="1" a="1"/>
  <c r="G255" i="4" s="1"/>
  <c r="F255" i="4" s="1"/>
  <c r="E247" i="4"/>
  <c r="D247" i="4"/>
  <c r="G247" i="4" s="1" a="1"/>
  <c r="G247" i="4" s="1"/>
  <c r="E233" i="4"/>
  <c r="D233" i="4"/>
  <c r="G233" i="4" s="1" a="1"/>
  <c r="G233" i="4" s="1"/>
  <c r="E234" i="4"/>
  <c r="D234" i="4"/>
  <c r="G234" i="4" s="1" a="1"/>
  <c r="G234" i="4" s="1"/>
  <c r="E235" i="4"/>
  <c r="D235" i="4"/>
  <c r="G235" i="4" s="1" a="1"/>
  <c r="G235" i="4" s="1"/>
  <c r="F234" i="4" s="1"/>
  <c r="D243" i="4"/>
  <c r="G243" i="4" s="1" a="1"/>
  <c r="G243" i="4" s="1"/>
  <c r="F242" i="4" s="1"/>
  <c r="E243" i="4"/>
  <c r="E254" i="4"/>
  <c r="D254" i="4"/>
  <c r="G254" i="4" s="1" a="1"/>
  <c r="G254" i="4" s="1"/>
  <c r="F253" i="4" s="1"/>
  <c r="D253" i="4"/>
  <c r="G253" i="4" s="1" a="1"/>
  <c r="G253" i="4" s="1"/>
  <c r="F252" i="4" s="1"/>
  <c r="E253" i="4"/>
  <c r="D232" i="4"/>
  <c r="G232" i="4" s="1" a="1"/>
  <c r="G232" i="4" s="1"/>
  <c r="E232" i="4"/>
  <c r="D251" i="4"/>
  <c r="G251" i="4" s="1" a="1"/>
  <c r="G251" i="4" s="1"/>
  <c r="E251" i="4"/>
  <c r="D239" i="4"/>
  <c r="G239" i="4" s="1" a="1"/>
  <c r="G239" i="4" s="1"/>
  <c r="E239" i="4"/>
  <c r="D241" i="4"/>
  <c r="G241" i="4" s="1" a="1"/>
  <c r="G241" i="4" s="1"/>
  <c r="E241" i="4"/>
  <c r="E244" i="4"/>
  <c r="D244" i="4"/>
  <c r="G244" i="4" s="1" a="1"/>
  <c r="G244" i="4" s="1"/>
  <c r="E238" i="4"/>
  <c r="D238" i="4"/>
  <c r="G238" i="4" s="1" a="1"/>
  <c r="G238" i="4" s="1"/>
  <c r="E245" i="4"/>
  <c r="D245" i="4"/>
  <c r="G245" i="4" s="1" a="1"/>
  <c r="G245" i="4" s="1"/>
  <c r="F232" i="4" l="1"/>
  <c r="F235" i="4"/>
  <c r="F245" i="4"/>
  <c r="F250" i="4"/>
  <c r="F248" i="4"/>
  <c r="F236" i="4"/>
  <c r="F238" i="4"/>
  <c r="F249" i="4"/>
  <c r="F237" i="4"/>
  <c r="F254" i="4"/>
  <c r="F247" i="4"/>
  <c r="F243" i="4"/>
  <c r="F233" i="4"/>
  <c r="F239" i="4"/>
  <c r="F241" i="4"/>
  <c r="F246" i="4"/>
  <c r="F244" i="4"/>
  <c r="F240" i="4"/>
  <c r="F25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<sst xmlns="http://schemas.openxmlformats.org/spreadsheetml/2006/main" count="360" uniqueCount="257">
  <si>
    <t>Company Valuation with Terminal-Value Uncertainty</t>
  </si>
  <si>
    <t>ModelRisk example  ·  Corporate finance  ·  CF-04</t>
  </si>
  <si>
    <t>Is the price right?  A discounted cash flow valuation with its range, and how much of it is the terminal value.</t>
  </si>
  <si>
    <t>Next:  Inputs  ▸</t>
  </si>
  <si>
    <t>Model card</t>
  </si>
  <si>
    <t>Industry</t>
  </si>
  <si>
    <t>Corporate finance</t>
  </si>
  <si>
    <t>Difficulty</t>
  </si>
  <si>
    <t>★★★☆☆   A five-year DCF with a terminal value, two ways; growth and margin correlated through a copula.</t>
  </si>
  <si>
    <t>Business question</t>
  </si>
  <si>
    <t>A buyer has agreed to pay US$600 million for a logistics-software company. Its bank's discounted cash flow, with the most likely value of every input, says the company is worth about US$640 million. What range of values should the buyer expect, how likely is the price to exceed the value, and how much of the value rests on the years beyond the forecast?</t>
  </si>
  <si>
    <t>Who it is for</t>
  </si>
  <si>
    <t>Corporate development and M&amp;A teams, valuation analysts, investment committees.</t>
  </si>
  <si>
    <t>Main outputs</t>
  </si>
  <si>
    <t>Enterprise value: the bank's case against the simulation, its range, and the chance that it is below the price · value by an exit multiple · the terminal value's share of the value and the multiple it implies · drivers.</t>
  </si>
  <si>
    <t>ModelRisk techniques</t>
  </si>
  <si>
    <t>Five-year free cash flow from growth, margin, capex and working capital · terminal value by the Gordon growth formula and, as a check, by an exit multiple · growth and margin correlated through a Normal copula (VoseCopulaBiNormal) · histogram, S-curves and tornado chart.</t>
  </si>
  <si>
    <t>File</t>
  </si>
  <si>
    <t>CF-04 Company valuation with terminal-value uncertainty  ·  Version 1.0  ·  October 2026  ·  built with ModelRisk 10</t>
  </si>
  <si>
    <t>The business question</t>
  </si>
  <si>
    <t>A buyer has agreed to pay US$600 million, debt included, for a logistics-software company with revenue of US$310 million and an EBITDA margin of 17%. The company expects to grow about 6% a year and to raise its margin to about 20% within three years. The buyer's bank has valued it at about US$640 million by discounting five years of free cash flow at an 8.5% cost of capital, with a terminal value that grows at 2% a year after that — a comfortable margin over the price. But each of those inputs is an estimate, growth and margin tend to rise and fall together, and three quarters of the value comes from the terminal value, which rests on the cost of capital and long-term growth. The model simulates the valuation and compares it with the price.</t>
  </si>
  <si>
    <t>How the model works</t>
  </si>
  <si>
    <t>Three sheets after this one, read from left to right. Each one feeds the next.</t>
  </si>
  <si>
    <t>1  Inputs</t>
  </si>
  <si>
    <t>The agreed price, revenue and margin in the last year; growth, the steady-state margin, capex, the cost of capital, long-term growth and the exit multiple as three-point estimates (PERT); growth and margin are correlated through a copula.</t>
  </si>
  <si>
    <t>2  Valuation</t>
  </si>
  <si>
    <t>Revenue grows at the drawn rate; the margin moves to its steady state over three years. Free cash flow = after-tax operating profit + depreciation − capex − the increase in working capital. The terminal value is the year-5 cash flow growing for ever (Gordon), or year-5 EBITDA times the exit multiple; both are discounted at the cost of capital.</t>
  </si>
  <si>
    <t>3  Results</t>
  </si>
  <si>
    <t>Enterprise value against the price and the bank's case, the range by both methods, the share of value in the terminal value and the multiple it implies, and the drivers.</t>
  </si>
  <si>
    <t>How to use it</t>
  </si>
  <si>
    <t>Step 1</t>
  </si>
  <si>
    <t>Enter the price and the target's last-year figures, and your ranges for the forecast and valuation inputs.</t>
  </si>
  <si>
    <t>Step 2</t>
  </si>
  <si>
    <t>Press F9 on the Valuation sheet to see other possible valuations.</t>
  </si>
  <si>
    <t>Step 3</t>
  </si>
  <si>
    <t>Run a simulation from the ModelRisk ribbon (10,000 samples with a fixed seed are set).</t>
  </si>
  <si>
    <t>Step 4</t>
  </si>
  <si>
    <t>Set a walk-away price at the confidence the committee requires, and probe the terminal value before signing.</t>
  </si>
  <si>
    <t>Workbook map</t>
  </si>
  <si>
    <t>Inputs</t>
  </si>
  <si>
    <t>The deal, the forecast and the valuation inputs.</t>
  </si>
  <si>
    <t>Valuation</t>
  </si>
  <si>
    <t>Free cash flow by year, present values, terminal values; the bank's case; outputs and checks.</t>
  </si>
  <si>
    <t>Results</t>
  </si>
  <si>
    <t>Value against the price, ranges, the terminal value,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</si>
  <si>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</si>
  <si>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</si>
  <si>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</si>
  <si>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</si>
  <si>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</si>
  <si>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</si>
  <si>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</si>
  <si>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</si>
  <si>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</si>
  <si>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</si>
  <si>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</si>
  <si>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</si>
  <si>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</si>
  <si>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enterprise value, before net debt.</t>
  </si>
  <si>
    <t>Years</t>
  </si>
  <si>
    <t>Year 0 is the last full year; cash flows at the end of years 1 to 5.</t>
  </si>
  <si>
    <t>Terminal value</t>
  </si>
  <si>
    <t>The value at the end of year 5 of all later cash flows.</t>
  </si>
  <si>
    <t>Bank's case</t>
  </si>
  <si>
    <t>The same valuation with every input at its most likely value.</t>
  </si>
  <si>
    <t>Key assumptions and limitations</t>
  </si>
  <si>
    <t>Growth</t>
  </si>
  <si>
    <t>One growth rate for the five years; the margin moves linearly to its steady state by year 3.</t>
  </si>
  <si>
    <t>Cash flow</t>
  </si>
  <si>
    <t>Depreciation 3% of revenue; working capital 10% of the revenue increase; tax 25% of operating profit.</t>
  </si>
  <si>
    <t>Dependence</t>
  </si>
  <si>
    <t>Growth and margin are correlated (0.6); the cost of capital and long-term growth are independent.</t>
  </si>
  <si>
    <t>Data</t>
  </si>
  <si>
    <t>The company and all figures are invented for this example.</t>
  </si>
  <si>
    <t>ModelRisk functions used</t>
  </si>
  <si>
    <t>VosePERT</t>
  </si>
  <si>
    <t>Growth, margin, capex, cost of capital, long-term growth and the exit multiple.</t>
  </si>
  <si>
    <t>VoseCopulaBiNormal</t>
  </si>
  <si>
    <t>Correlates growth and margin: its two U values feed the U argument of the two VosePERTs.</t>
  </si>
  <si>
    <t>VoseInput, VoseOutput</t>
  </si>
  <si>
    <t>Name the inputs for the tornado chart, and the values as outputs.</t>
  </si>
  <si>
    <t>VoseSimMean, VoseSimPercentile, VoseSimProbability</t>
  </si>
  <si>
    <t>Statistics of the simulation for the tables and charts on the Results sheet.</t>
  </si>
  <si>
    <t>VoseSimSensitivityMean</t>
  </si>
  <si>
    <t>The tornado chart: the five VoseInputs that move the mean value (DCF) most across their range, ranked. The exit multiple does not enter the DCF value.</t>
  </si>
  <si>
    <t>Further reading</t>
  </si>
  <si>
    <t>Koller, T., Goedhart, M. &amp; Wessels, D. (2020). Valuation: Measuring and Managing the Value of Companies, 7th edition. Wiley.</t>
  </si>
  <si>
    <t>Risk analysis</t>
  </si>
  <si>
    <t>Vose, D. (2008). Risk Analysis: A Quantitative Guide, 3rd edition. Wiley — correlation and copulas.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</si>
  <si>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</si>
  <si>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</si>
  <si>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</si>
  <si>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Valuation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</si>
  <si>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</si>
  <si>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The deal</t>
  </si>
  <si>
    <t>The price agreed, and where the company stands today.</t>
  </si>
  <si>
    <t>Assumption</t>
  </si>
  <si>
    <t>Unit</t>
  </si>
  <si>
    <t>Value in model</t>
  </si>
  <si>
    <t>Uncertainty</t>
  </si>
  <si>
    <t>Basis / source (illustrative)</t>
  </si>
  <si>
    <t>Price  (enterprise value)</t>
  </si>
  <si>
    <t>US$m</t>
  </si>
  <si>
    <t>Fixed</t>
  </si>
  <si>
    <t>Agreed, debt included.</t>
  </si>
  <si>
    <t>Revenue in the last year</t>
  </si>
  <si>
    <t>EBITDA margin in the last year</t>
  </si>
  <si>
    <t>Confidence the committee requires</t>
  </si>
  <si>
    <t>probability</t>
  </si>
  <si>
    <t>The Results sheet gives the walk-away price: the value the company is worth at least this often.</t>
  </si>
  <si>
    <t>2   Forecast</t>
  </si>
  <si>
    <t>Five years of growth and margins; investment and working capital.</t>
  </si>
  <si>
    <t>Low</t>
  </si>
  <si>
    <t>Most likely</t>
  </si>
  <si>
    <t>High</t>
  </si>
  <si>
    <t>Mean</t>
  </si>
  <si>
    <t>Revenue growth</t>
  </si>
  <si>
    <t>per year</t>
  </si>
  <si>
    <t>PERT  · correlated</t>
  </si>
  <si>
    <t>Management plan 6%; new contracts are not yet signed.</t>
  </si>
  <si>
    <t>EBITDA margin, steady state</t>
  </si>
  <si>
    <t>Scale economies and the price increase in the plan.</t>
  </si>
  <si>
    <t>Years for the margin to reach it</t>
  </si>
  <si>
    <t>years</t>
  </si>
  <si>
    <t>A straight line from the last year's margin.</t>
  </si>
  <si>
    <t>Correlation: growth vs margin</t>
  </si>
  <si>
    <t>Normal copula</t>
  </si>
  <si>
    <t>Fixed  · copula</t>
  </si>
  <si>
    <t>A strong market lifts both volumes and prices: growth and margin tend to move together.</t>
  </si>
  <si>
    <t>Copula draw for growth (U)</t>
  </si>
  <si>
    <t>0 – 1</t>
  </si>
  <si>
    <t>Calculated</t>
  </si>
  <si>
    <t>Generated by VoseCopulaBiNormal and passed to the U argument of the distribution it correlates. Do not edit.</t>
  </si>
  <si>
    <t>Copula draw for margin (U)</t>
  </si>
  <si>
    <t>Both draws come from one copula, so the two inputs move together as specified.</t>
  </si>
  <si>
    <t>Capital expenditure</t>
  </si>
  <si>
    <t>of revenue</t>
  </si>
  <si>
    <t>PERT</t>
  </si>
  <si>
    <t>Platform investment may rise.</t>
  </si>
  <si>
    <t>Depreciation and amortisation</t>
  </si>
  <si>
    <t>Working capital</t>
  </si>
  <si>
    <t>of the revenue increase</t>
  </si>
  <si>
    <t>Tax rate</t>
  </si>
  <si>
    <t>3   Valuation</t>
  </si>
  <si>
    <t>How the cash flows are turned into a value.</t>
  </si>
  <si>
    <t>Cost of capital  (WACC)</t>
  </si>
  <si>
    <t>Beta and the equity risk premium are debated.</t>
  </si>
  <si>
    <t>Growth after year 5</t>
  </si>
  <si>
    <t>Long-term inflation plus a little real growth.</t>
  </si>
  <si>
    <t>Exit multiple, for the check</t>
  </si>
  <si>
    <t>× EBITDA</t>
  </si>
  <si>
    <t>Recent sales of similar companies.</t>
  </si>
  <si>
    <t>VALUATION   ·   Five years of free cash flow and the terminal value, discounted at the cost of capital (US$m).</t>
  </si>
  <si>
    <t>◂  Inputs</t>
  </si>
  <si>
    <t>Next:  Results  ▸</t>
  </si>
  <si>
    <t>Year</t>
  </si>
  <si>
    <t>Total</t>
  </si>
  <si>
    <t>1   Free cash flow</t>
  </si>
  <si>
    <t>The margin moves in a straight line to its steady state over the ramp years.</t>
  </si>
  <si>
    <t>Revenue</t>
  </si>
  <si>
    <t>EBITDA margin</t>
  </si>
  <si>
    <t>EBITDA</t>
  </si>
  <si>
    <t>Operating profit after tax</t>
  </si>
  <si>
    <t>Increase in working capital</t>
  </si>
  <si>
    <t>Free cash flow</t>
  </si>
  <si>
    <t>Discount factor</t>
  </si>
  <si>
    <t>Present value</t>
  </si>
  <si>
    <t>2   The bank's case</t>
  </si>
  <si>
    <t>The same rows with every input at its most likely value.</t>
  </si>
  <si>
    <t>3   Terminal value</t>
  </si>
  <si>
    <t>The value at the end of year 5 of all later cash flows, two ways.</t>
  </si>
  <si>
    <t>Quantity</t>
  </si>
  <si>
    <t>Value</t>
  </si>
  <si>
    <t>How it is calculated</t>
  </si>
  <si>
    <t>Cost of capital − long-term growth</t>
  </si>
  <si>
    <t>The Gordon formula divides by this: small, so the value is sensitive to it</t>
  </si>
  <si>
    <t>Terminal value: year-5 cash flow growing for ever</t>
  </si>
  <si>
    <t>Gordon growth formula: next year's cash flow ÷ the spread</t>
  </si>
  <si>
    <t>Terminal value: year-5 EBITDA × exit multiple</t>
  </si>
  <si>
    <t>The check</t>
  </si>
  <si>
    <t>Terminal value in the bank's case</t>
  </si>
  <si>
    <t>Most likely values</t>
  </si>
  <si>
    <t>4   Present value</t>
  </si>
  <si>
    <t>What the buyer pays for: the five years, and the terminal value discounted from year 5.</t>
  </si>
  <si>
    <t>Present value of the five cash flows</t>
  </si>
  <si>
    <t>The total of the present value row</t>
  </si>
  <si>
    <t>Present value of the terminal value</t>
  </si>
  <si>
    <t>Terminal value × the year-5 discount factor</t>
  </si>
  <si>
    <t>Present value of the terminal value  (exit multiple)</t>
  </si>
  <si>
    <t>The same for the exit-multiple terminal value</t>
  </si>
  <si>
    <t>5   Value in this iteration</t>
  </si>
  <si>
    <t>Key outputs, recorded by ModelRisk at every sample (VoseOutput). Their statistics appear on the Results sheet.</t>
  </si>
  <si>
    <t>Output</t>
  </si>
  <si>
    <t>Meaning</t>
  </si>
  <si>
    <t>Enterprise value  (DCF)</t>
  </si>
  <si>
    <t>Present value of the five cash flows plus that of the terminal value.</t>
  </si>
  <si>
    <t>Enterprise value  (exit multiple)</t>
  </si>
  <si>
    <t>Terminal value's share of the value</t>
  </si>
  <si>
    <t>Exit multiple implied by the DCF</t>
  </si>
  <si>
    <t>Terminal value ÷ year-5 EBITDA.</t>
  </si>
  <si>
    <t>Worth less than the price?  (1 = yes)</t>
  </si>
  <si>
    <t>1 / 0</t>
  </si>
  <si>
    <t>Enterprise value in the bank's case</t>
  </si>
  <si>
    <t>Every input at its most likely value.</t>
  </si>
  <si>
    <t>6   Model checks</t>
  </si>
  <si>
    <t>Should all read OK. A CHECK means an input has been set outside the range the model is built for.</t>
  </si>
  <si>
    <t>Every range on the Inputs sheet is in order  (no ✗ under Mean)</t>
  </si>
  <si>
    <t>The cost of capital is always above long-term growth</t>
  </si>
  <si>
    <t>RESULTS   ·   Filled in automatically from the last simulation. Run a simulation after changing any input.</t>
  </si>
  <si>
    <t>◂  Valuation</t>
  </si>
  <si>
    <t>1   Is the price right?</t>
  </si>
  <si>
    <t>Enterprise value (DCF) — distribution</t>
  </si>
  <si>
    <t>Enterprise value against the price and the bank's case.</t>
  </si>
  <si>
    <t>Measure</t>
  </si>
  <si>
    <t>Price agreed</t>
  </si>
  <si>
    <t>Value in the bank's case  (most likely values)</t>
  </si>
  <si>
    <t>Mean value  (simulated)</t>
  </si>
  <si>
    <t>Chance that the company is worth less than the price</t>
  </si>
  <si>
    <t>Chance that it is worth less than the bank's case</t>
  </si>
  <si>
    <t>Mean value by exit multiple</t>
  </si>
  <si>
    <t>2   The range of values</t>
  </si>
  <si>
    <t>10th percentile, median and 90th percentile.</t>
  </si>
  <si>
    <t>10th pct</t>
  </si>
  <si>
    <t>Median</t>
  </si>
  <si>
    <t>90th pct</t>
  </si>
  <si>
    <t>Enterprise value — cumulative probability</t>
  </si>
  <si>
    <t>3   What drives the value</t>
  </si>
  <si>
    <t>What drives the value  (US$m)</t>
  </si>
  <si>
    <t>Lowest and highest mean value (DCF) over ten equal groups of each input (VoseSimSensitivityMean), drawn from the overall mean.</t>
  </si>
  <si>
    <t>Input (ranked by influence)</t>
  </si>
  <si>
    <t>Lowest mean</t>
  </si>
  <si>
    <t>Highest mean</t>
  </si>
  <si>
    <t>Rank</t>
  </si>
  <si>
    <t>4   How to read these results</t>
  </si>
  <si>
    <t>•  The bank's case uses the most likely value of every input. Growth and margins have more room to disappoint than to surprise, so the simulation's average is lower, and the chance that the company is worth less than the price is close to one half: the price leaves little margin of safety.</t>
  </si>
  <si>
    <t>•  About three quarters of the value is the terminal value — the years beyond the forecast. The cost of capital and long-term growth, which set it, rank close behind the margin and growth among the drivers.</t>
  </si>
  <si>
    <t>•  Growth and margin are correlated, because a strong market lifts both; their bars in the tornado chart are both long for the same reason. Treating them as independent would narrow the range of values.</t>
  </si>
  <si>
    <t>•  The exit-multiple method gives a similar range. The multiple implied by the DCF's terminal value is a useful check: if it falls far outside the multiples paid for similar companies, the long-term assumptions need another look.</t>
  </si>
  <si>
    <t>•  The walk-away price answers the committee's question directly: the value the company is worth at least as often as the confidence on the Inputs sheet asks. Paying more than it means accepting a larger chance of overpaying.</t>
  </si>
  <si>
    <t>Chart data</t>
  </si>
  <si>
    <t>Statistics of the last simulation behind the charts and the ranking above. Grouped: click + in the left margin to show them.</t>
  </si>
  <si>
    <t>Cumulative probability</t>
  </si>
  <si>
    <t>Exceedance</t>
  </si>
  <si>
    <t>EV</t>
  </si>
  <si>
    <t>EV_Mult</t>
  </si>
  <si>
    <t>Overall mean of EV</t>
  </si>
  <si>
    <t>Ranked input (chart)</t>
  </si>
  <si>
    <t>Highest − mean</t>
  </si>
  <si>
    <t>Lowest − mean</t>
  </si>
  <si>
    <t>Percentiles: EV</t>
  </si>
  <si>
    <t>Histogram: EV</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</si>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</sst>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0\);&quot;–&quot;_)"/>
    <numFmt numFmtId="165" formatCode="0.0%"/>
    <numFmt numFmtId="166" formatCode="0.000"/>
    <numFmt numFmtId="167" formatCode="0.0"/>
    <numFmt numFmtId="168" formatCode="#,##0.0_);\(#,##0.0\);&quot;–&quot;_)"/>
    <numFmt numFmtId="169" formatCode="#,##0_);\(#,##0\);&quot;–&quot;_);&quot;–&quot;"/>
    <numFmt numFmtId="170" formatCode="0.0%;\-0.0%;0.0%;&quot;–&quot;"/>
    <numFmt numFmtId="171" formatCode="0%;\-0%;0%;&quot;–&quot;"/>
    <numFmt numFmtId="172" formatCode="0.0;\-0.0;0.0;&quot;–&quot;"/>
    <numFmt numFmtId="173" formatCode="#,##0.0_);\(#,##0.0\);&quot;–&quot;_);&quot;–&quot;"/>
    <numFmt numFmtId="174" formatCode="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10"/>
      <color rgb="FF3F5876"/>
      <name val="Calibri"/>
    </font>
    <font>
      <b/>
      <sz val="9"/>
      <color rgb="FF0F2A47"/>
      <name val="Calibri"/>
    </font>
    <font>
      <b/>
      <sz val="9"/>
      <color rgb="FF8AA0BA"/>
      <name val="Calibri"/>
    </font>
    <font>
      <b/>
      <sz val="10"/>
      <color rgb="FF15803D"/>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9" fontId="1" fillId="2" borderId="7" xfId="1" applyNumberFormat="1" applyBorder="1">
      <alignment horizontal="right" vertical="center"/>
    </xf>
    <xf numFmtId="165" fontId="2" fillId="3" borderId="7" xfId="2" applyNumberFormat="1" applyBorder="1">
      <alignment horizontal="right" vertical="center"/>
    </xf>
    <xf numFmtId="165" fontId="3" fillId="0" borderId="8" xfId="3" applyNumberFormat="1" applyBorder="1">
      <alignment horizontal="right" vertical="center"/>
    </xf>
    <xf numFmtId="1" fontId="1" fillId="2" borderId="7" xfId="1" applyNumberFormat="1" applyBorder="1">
      <alignment horizontal="right" vertical="center"/>
    </xf>
    <xf numFmtId="2" fontId="1" fillId="2" borderId="7" xfId="1" applyNumberFormat="1" applyBorder="1">
      <alignment horizontal="right" vertical="center"/>
    </xf>
    <xf numFmtId="0" fontId="19" fillId="0" borderId="6" xfId="0" applyFont="1" applyBorder="1" applyAlignment="1">
      <alignment horizontal="left" vertical="center" indent="3"/>
    </xf>
    <xf numFmtId="166" fontId="2" fillId="3" borderId="7" xfId="2" applyNumberFormat="1" applyBorder="1">
      <alignment horizontal="right" vertical="center"/>
    </xf>
    <xf numFmtId="167" fontId="2" fillId="3" borderId="7" xfId="2" applyNumberFormat="1" applyBorder="1">
      <alignment horizontal="right" vertical="center"/>
    </xf>
    <xf numFmtId="167" fontId="1" fillId="2" borderId="7" xfId="1" applyNumberFormat="1" applyBorder="1">
      <alignment horizontal="right" vertical="center"/>
    </xf>
    <xf numFmtId="167"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168" fontId="3" fillId="0" borderId="8" xfId="3" applyNumberFormat="1" applyBorder="1">
      <alignment horizontal="right" vertical="center"/>
    </xf>
    <xf numFmtId="0" fontId="12" fillId="0" borderId="6" xfId="0" applyFont="1" applyBorder="1" applyAlignment="1">
      <alignment horizontal="left" vertical="center" indent="1"/>
    </xf>
    <xf numFmtId="168" fontId="12" fillId="0" borderId="8" xfId="3" applyNumberFormat="1" applyFont="1" applyBorder="1">
      <alignment horizontal="right" vertical="center"/>
    </xf>
    <xf numFmtId="0" fontId="12" fillId="0" borderId="9" xfId="0" applyFont="1" applyBorder="1" applyAlignment="1">
      <alignment horizontal="left" vertical="center" indent="1"/>
    </xf>
    <xf numFmtId="0" fontId="18" fillId="0" borderId="9" xfId="0" applyFont="1" applyBorder="1" applyAlignment="1">
      <alignment horizontal="left" vertical="center" indent="1"/>
    </xf>
    <xf numFmtId="0" fontId="0" fillId="0" borderId="9" xfId="0" applyBorder="1"/>
    <xf numFmtId="168" fontId="12" fillId="0" borderId="9" xfId="3" applyNumberFormat="1" applyFont="1" applyBorder="1">
      <alignment horizontal="right" vertical="center"/>
    </xf>
    <xf numFmtId="166"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68" fontId="4" fillId="4" borderId="10" xfId="4" applyNumberFormat="1" applyBorder="1">
      <alignment horizontal="right" vertical="center"/>
    </xf>
    <xf numFmtId="165" fontId="4" fillId="4" borderId="10" xfId="4" applyNumberFormat="1" applyBorder="1">
      <alignment horizontal="right" vertical="center"/>
    </xf>
    <xf numFmtId="167" fontId="4" fillId="4" borderId="10" xfId="4" applyNumberFormat="1" applyBorder="1">
      <alignment horizontal="right" vertical="center"/>
    </xf>
    <xf numFmtId="1" fontId="4" fillId="4" borderId="10" xfId="4" applyNumberFormat="1" applyBorder="1">
      <alignment horizontal="right" vertical="center"/>
    </xf>
    <xf numFmtId="0" fontId="22"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5" fillId="0" borderId="5" xfId="0" applyFont="1" applyBorder="1"/>
    <xf numFmtId="0" fontId="19" fillId="0" borderId="6" xfId="0" applyFont="1" applyBorder="1" applyAlignment="1">
      <alignment horizontal="left" vertical="center" indent="1"/>
    </xf>
    <xf numFmtId="164" fontId="3" fillId="0" borderId="8" xfId="3" applyNumberFormat="1" applyBorder="1">
      <alignment horizontal="right" vertical="center"/>
    </xf>
    <xf numFmtId="169" fontId="23" fillId="5" borderId="7" xfId="5" applyNumberFormat="1" applyFont="1" applyBorder="1">
      <alignment horizontal="right" vertical="center"/>
    </xf>
    <xf numFmtId="170" fontId="1" fillId="5" borderId="7" xfId="5" applyNumberFormat="1" applyBorder="1">
      <alignment horizontal="right" vertical="center"/>
    </xf>
    <xf numFmtId="169"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0" fontId="17" fillId="7" borderId="4" xfId="0" applyFont="1" applyFill="1" applyBorder="1" applyAlignment="1">
      <alignment horizontal="center" vertical="center" wrapText="1"/>
    </xf>
    <xf numFmtId="173" fontId="1" fillId="5" borderId="7" xfId="5" applyNumberFormat="1" applyBorder="1">
      <alignment horizontal="right" vertical="center"/>
    </xf>
    <xf numFmtId="174"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73" fontId="1" fillId="5" borderId="1" xfId="5" applyNumberFormat="1">
      <alignment horizontal="right" vertical="center"/>
    </xf>
    <xf numFmtId="0" fontId="19" fillId="0" borderId="0" xfId="0" applyFont="1" applyAlignment="1">
      <alignment horizontal="left" vertical="center" indent="1"/>
    </xf>
    <xf numFmtId="168" fontId="3" fillId="0" borderId="2" xfId="3" applyNumberFormat="1">
      <alignment horizontal="right" vertical="center"/>
    </xf>
    <xf numFmtId="165" fontId="3" fillId="0" borderId="2" xfId="3" applyNumberFormat="1">
      <alignment horizontal="right" vertical="center"/>
    </xf>
    <xf numFmtId="0" fontId="24"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Enterprise value</c:v>
          </c:tx>
          <c:spPr>
            <a:solidFill>
              <a:srgbClr val="0E4F92"/>
            </a:solidFill>
            <a:ln>
              <a:noFill/>
              <a:prstDash val="solid"/>
            </a:ln>
          </c:spPr>
          <c:invertIfNegative val="1"/>
          <c:cat>
            <c:numRef>
              <c:f>Results!$E$232:$E$255</c:f>
              <c:numCache>
                <c:formatCode>#,##0.00</c:formatCode>
                <c:ptCount val="24"/>
                <c:pt idx="0">
                  <c:v>429.62450232249739</c:v>
                </c:pt>
                <c:pt idx="1">
                  <c:v>448.15432249871958</c:v>
                </c:pt>
                <c:pt idx="2">
                  <c:v>466.68414267494165</c:v>
                </c:pt>
                <c:pt idx="3">
                  <c:v>485.21396285116373</c:v>
                </c:pt>
                <c:pt idx="4">
                  <c:v>503.74378302738592</c:v>
                </c:pt>
                <c:pt idx="5">
                  <c:v>522.27360320360799</c:v>
                </c:pt>
                <c:pt idx="6">
                  <c:v>540.80342337983006</c:v>
                </c:pt>
                <c:pt idx="7">
                  <c:v>559.33324355605225</c:v>
                </c:pt>
                <c:pt idx="8">
                  <c:v>577.86306373227444</c:v>
                </c:pt>
                <c:pt idx="9">
                  <c:v>596.39288390849651</c:v>
                </c:pt>
                <c:pt idx="10">
                  <c:v>614.92270408471859</c:v>
                </c:pt>
                <c:pt idx="11">
                  <c:v>633.45252426094078</c:v>
                </c:pt>
                <c:pt idx="12">
                  <c:v>651.98234443716285</c:v>
                </c:pt>
                <c:pt idx="13">
                  <c:v>670.51216461338504</c:v>
                </c:pt>
                <c:pt idx="14">
                  <c:v>689.04198478960711</c:v>
                </c:pt>
                <c:pt idx="15">
                  <c:v>707.57180496582919</c:v>
                </c:pt>
                <c:pt idx="16">
                  <c:v>726.10162514205126</c:v>
                </c:pt>
                <c:pt idx="17">
                  <c:v>744.63144531827356</c:v>
                </c:pt>
                <c:pt idx="18">
                  <c:v>763.16126549449564</c:v>
                </c:pt>
                <c:pt idx="19">
                  <c:v>781.69108567071771</c:v>
                </c:pt>
                <c:pt idx="20">
                  <c:v>800.22090584693979</c:v>
                </c:pt>
                <c:pt idx="21">
                  <c:v>818.75072602316197</c:v>
                </c:pt>
                <c:pt idx="22">
                  <c:v>837.28054619938416</c:v>
                </c:pt>
                <c:pt idx="23">
                  <c:v>855.81036637560624</c:v>
                </c:pt>
              </c:numCache>
            </c:numRef>
          </c:cat>
          <c:val>
            <c:numRef>
              <c:f>Results!$F$232:$F$255</c:f>
              <c:numCache>
                <c:formatCode>0.0%</c:formatCode>
                <c:ptCount val="24"/>
                <c:pt idx="0">
                  <c:v>6.8078878420198023E-3</c:v>
                </c:pt>
                <c:pt idx="1">
                  <c:v>1.3192410607950128E-2</c:v>
                </c:pt>
                <c:pt idx="2">
                  <c:v>2.0078329946935532E-2</c:v>
                </c:pt>
                <c:pt idx="3">
                  <c:v>3.0287356883241259E-2</c:v>
                </c:pt>
                <c:pt idx="4">
                  <c:v>4.4875613036514092E-2</c:v>
                </c:pt>
                <c:pt idx="5">
                  <c:v>5.2981217998072233E-2</c:v>
                </c:pt>
                <c:pt idx="6">
                  <c:v>6.4792975360520755E-2</c:v>
                </c:pt>
                <c:pt idx="7">
                  <c:v>6.8711332430582278E-2</c:v>
                </c:pt>
                <c:pt idx="8">
                  <c:v>7.8310873092933331E-2</c:v>
                </c:pt>
                <c:pt idx="9">
                  <c:v>8.6611667177089458E-2</c:v>
                </c:pt>
                <c:pt idx="10">
                  <c:v>8.1897196742847123E-2</c:v>
                </c:pt>
                <c:pt idx="11">
                  <c:v>7.8692306321792915E-2</c:v>
                </c:pt>
                <c:pt idx="12">
                  <c:v>7.3633278675208524E-2</c:v>
                </c:pt>
                <c:pt idx="13">
                  <c:v>6.6720997018899997E-2</c:v>
                </c:pt>
                <c:pt idx="14">
                  <c:v>5.4529429592793277E-2</c:v>
                </c:pt>
                <c:pt idx="15">
                  <c:v>4.3733636927429376E-2</c:v>
                </c:pt>
                <c:pt idx="16">
                  <c:v>3.6356602856072673E-2</c:v>
                </c:pt>
                <c:pt idx="17">
                  <c:v>2.6411588165119793E-2</c:v>
                </c:pt>
                <c:pt idx="18">
                  <c:v>1.9946025429524727E-2</c:v>
                </c:pt>
                <c:pt idx="19">
                  <c:v>1.5789320477947677E-2</c:v>
                </c:pt>
                <c:pt idx="20">
                  <c:v>1.003156540070016E-2</c:v>
                </c:pt>
                <c:pt idx="21">
                  <c:v>6.120278790229805E-3</c:v>
                </c:pt>
                <c:pt idx="22">
                  <c:v>5.4437811406656822E-3</c:v>
                </c:pt>
                <c:pt idx="23">
                  <c:v>4.0443280849093988E-3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AB3D-454D-9D96-36BE40D40CF4}"/>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DCF (Gordon growth)</c:v>
          </c:tx>
          <c:spPr>
            <a:ln w="25400">
              <a:solidFill>
                <a:srgbClr val="0E4F92"/>
              </a:solidFill>
              <a:prstDash val="solid"/>
            </a:ln>
          </c:spPr>
          <c:marker>
            <c:symbol val="none"/>
          </c:marker>
          <c:xVal>
            <c:numRef>
              <c:f>Results!$D$69:$D$118</c:f>
              <c:numCache>
                <c:formatCode>#,##0.00</c:formatCode>
                <c:ptCount val="50"/>
                <c:pt idx="0">
                  <c:v>436.2091523066025</c:v>
                </c:pt>
                <c:pt idx="1">
                  <c:v>463.80318354667384</c:v>
                </c:pt>
                <c:pt idx="2">
                  <c:v>479.8623915145896</c:v>
                </c:pt>
                <c:pt idx="3">
                  <c:v>492.17369736043349</c:v>
                </c:pt>
                <c:pt idx="4">
                  <c:v>500.91683279762879</c:v>
                </c:pt>
                <c:pt idx="5">
                  <c:v>509.0803492334623</c:v>
                </c:pt>
                <c:pt idx="6">
                  <c:v>517.29732239280406</c:v>
                </c:pt>
                <c:pt idx="7">
                  <c:v>523.86184139845636</c:v>
                </c:pt>
                <c:pt idx="8">
                  <c:v>530.58423413099024</c:v>
                </c:pt>
                <c:pt idx="9">
                  <c:v>536.53973492518276</c:v>
                </c:pt>
                <c:pt idx="10">
                  <c:v>541.99129076910322</c:v>
                </c:pt>
                <c:pt idx="11">
                  <c:v>547.92954218310751</c:v>
                </c:pt>
                <c:pt idx="12">
                  <c:v>553.60887440246859</c:v>
                </c:pt>
                <c:pt idx="13">
                  <c:v>558.66099456978009</c:v>
                </c:pt>
                <c:pt idx="14">
                  <c:v>564.31867697343091</c:v>
                </c:pt>
                <c:pt idx="15">
                  <c:v>569.4807117161597</c:v>
                </c:pt>
                <c:pt idx="16">
                  <c:v>574.40701826736358</c:v>
                </c:pt>
                <c:pt idx="17">
                  <c:v>578.86661974610138</c:v>
                </c:pt>
                <c:pt idx="18">
                  <c:v>583.588055448143</c:v>
                </c:pt>
                <c:pt idx="19">
                  <c:v>588.25269546076584</c:v>
                </c:pt>
                <c:pt idx="20">
                  <c:v>592.39361117050862</c:v>
                </c:pt>
                <c:pt idx="21">
                  <c:v>596.65381870088765</c:v>
                </c:pt>
                <c:pt idx="22">
                  <c:v>601.161743199885</c:v>
                </c:pt>
                <c:pt idx="23">
                  <c:v>605.322936047197</c:v>
                </c:pt>
                <c:pt idx="24">
                  <c:v>609.5428250363567</c:v>
                </c:pt>
                <c:pt idx="25">
                  <c:v>614.16185221386013</c:v>
                </c:pt>
                <c:pt idx="26">
                  <c:v>618.69470986146939</c:v>
                </c:pt>
                <c:pt idx="27">
                  <c:v>623.38276508425793</c:v>
                </c:pt>
                <c:pt idx="28">
                  <c:v>628.00494612788304</c:v>
                </c:pt>
                <c:pt idx="29">
                  <c:v>632.76830400264862</c:v>
                </c:pt>
                <c:pt idx="30">
                  <c:v>637.33139769966078</c:v>
                </c:pt>
                <c:pt idx="31">
                  <c:v>642.18633261751415</c:v>
                </c:pt>
                <c:pt idx="32">
                  <c:v>646.86470706141688</c:v>
                </c:pt>
                <c:pt idx="33">
                  <c:v>651.7625213087756</c:v>
                </c:pt>
                <c:pt idx="34">
                  <c:v>657.04490465796857</c:v>
                </c:pt>
                <c:pt idx="35">
                  <c:v>662.27558425382676</c:v>
                </c:pt>
                <c:pt idx="36">
                  <c:v>667.20418303103986</c:v>
                </c:pt>
                <c:pt idx="37">
                  <c:v>672.54664407792131</c:v>
                </c:pt>
                <c:pt idx="38">
                  <c:v>678.85172837576829</c:v>
                </c:pt>
                <c:pt idx="39">
                  <c:v>685.72259802140798</c:v>
                </c:pt>
                <c:pt idx="40">
                  <c:v>691.50305828480998</c:v>
                </c:pt>
                <c:pt idx="41">
                  <c:v>699.51640540835706</c:v>
                </c:pt>
                <c:pt idx="42">
                  <c:v>707.90359184696752</c:v>
                </c:pt>
                <c:pt idx="43">
                  <c:v>716.39510609673357</c:v>
                </c:pt>
                <c:pt idx="44">
                  <c:v>726.53828408742629</c:v>
                </c:pt>
                <c:pt idx="45">
                  <c:v>736.69974776045535</c:v>
                </c:pt>
                <c:pt idx="46">
                  <c:v>750.73728494432169</c:v>
                </c:pt>
                <c:pt idx="47">
                  <c:v>768.38123108052287</c:v>
                </c:pt>
                <c:pt idx="48">
                  <c:v>791.72494053627202</c:v>
                </c:pt>
                <c:pt idx="49">
                  <c:v>842.16687266066992</c:v>
                </c:pt>
              </c:numCache>
            </c:numRef>
          </c:xVal>
          <c:yVal>
            <c:numRef>
              <c:f>Results!$B$69:$B$118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F44B-4A98-B8ED-E7D466433344}"/>
            </c:ext>
          </c:extLst>
        </c:ser>
        <c:ser>
          <c:idx val="1"/>
          <c:order val="1"/>
          <c:tx>
            <c:v>Exit multiple</c:v>
          </c:tx>
          <c:spPr>
            <a:ln w="25400">
              <a:solidFill>
                <a:srgbClr val="B45309"/>
              </a:solidFill>
              <a:prstDash val="dash"/>
            </a:ln>
          </c:spPr>
          <c:marker>
            <c:symbol val="none"/>
          </c:marker>
          <c:xVal>
            <c:numRef>
              <c:f>Results!$E$69:$E$118</c:f>
              <c:numCache>
                <c:formatCode>#,##0.00</c:formatCode>
                <c:ptCount val="50"/>
                <c:pt idx="0">
                  <c:v>475.60844860631391</c:v>
                </c:pt>
                <c:pt idx="1">
                  <c:v>499.64602056637125</c:v>
                </c:pt>
                <c:pt idx="2">
                  <c:v>514.1521921713047</c:v>
                </c:pt>
                <c:pt idx="3">
                  <c:v>525.85428666337737</c:v>
                </c:pt>
                <c:pt idx="4">
                  <c:v>534.44640156585535</c:v>
                </c:pt>
                <c:pt idx="5">
                  <c:v>541.95530381521382</c:v>
                </c:pt>
                <c:pt idx="6">
                  <c:v>549.06285199949718</c:v>
                </c:pt>
                <c:pt idx="7">
                  <c:v>555.78902787774234</c:v>
                </c:pt>
                <c:pt idx="8">
                  <c:v>561.09351011960393</c:v>
                </c:pt>
                <c:pt idx="9">
                  <c:v>566.61355681919747</c:v>
                </c:pt>
                <c:pt idx="10">
                  <c:v>572.47061402966438</c:v>
                </c:pt>
                <c:pt idx="11">
                  <c:v>577.43534829536372</c:v>
                </c:pt>
                <c:pt idx="12">
                  <c:v>581.88146978290933</c:v>
                </c:pt>
                <c:pt idx="13">
                  <c:v>586.06471606902801</c:v>
                </c:pt>
                <c:pt idx="14">
                  <c:v>590.29917846460194</c:v>
                </c:pt>
                <c:pt idx="15">
                  <c:v>594.74094914453349</c:v>
                </c:pt>
                <c:pt idx="16">
                  <c:v>599.45099670920456</c:v>
                </c:pt>
                <c:pt idx="17">
                  <c:v>603.5594945636866</c:v>
                </c:pt>
                <c:pt idx="18">
                  <c:v>607.64201335064934</c:v>
                </c:pt>
                <c:pt idx="19">
                  <c:v>611.45227494252606</c:v>
                </c:pt>
                <c:pt idx="20">
                  <c:v>615.09370610620385</c:v>
                </c:pt>
                <c:pt idx="21">
                  <c:v>619.04614960377137</c:v>
                </c:pt>
                <c:pt idx="22">
                  <c:v>622.91418484258679</c:v>
                </c:pt>
                <c:pt idx="23">
                  <c:v>627.00341311202283</c:v>
                </c:pt>
                <c:pt idx="24">
                  <c:v>631.15894702112143</c:v>
                </c:pt>
                <c:pt idx="25">
                  <c:v>634.81009779311262</c:v>
                </c:pt>
                <c:pt idx="26">
                  <c:v>638.9996974740144</c:v>
                </c:pt>
                <c:pt idx="27">
                  <c:v>642.77938994194074</c:v>
                </c:pt>
                <c:pt idx="28">
                  <c:v>646.79342484151562</c:v>
                </c:pt>
                <c:pt idx="29">
                  <c:v>650.5461972143529</c:v>
                </c:pt>
                <c:pt idx="30">
                  <c:v>654.74674683416083</c:v>
                </c:pt>
                <c:pt idx="31">
                  <c:v>659.07997408565143</c:v>
                </c:pt>
                <c:pt idx="32">
                  <c:v>662.96915289178207</c:v>
                </c:pt>
                <c:pt idx="33">
                  <c:v>667.00029960820018</c:v>
                </c:pt>
                <c:pt idx="34">
                  <c:v>671.33987280208851</c:v>
                </c:pt>
                <c:pt idx="35">
                  <c:v>675.95632294917925</c:v>
                </c:pt>
                <c:pt idx="36">
                  <c:v>681.7148509134056</c:v>
                </c:pt>
                <c:pt idx="37">
                  <c:v>686.26745969311651</c:v>
                </c:pt>
                <c:pt idx="38">
                  <c:v>691.17577854472813</c:v>
                </c:pt>
                <c:pt idx="39">
                  <c:v>697.11858023603043</c:v>
                </c:pt>
                <c:pt idx="40">
                  <c:v>703.34734290805136</c:v>
                </c:pt>
                <c:pt idx="41">
                  <c:v>710.27383228534575</c:v>
                </c:pt>
                <c:pt idx="42">
                  <c:v>716.58527284670595</c:v>
                </c:pt>
                <c:pt idx="43">
                  <c:v>724.43180774074267</c:v>
                </c:pt>
                <c:pt idx="44">
                  <c:v>731.92261968303512</c:v>
                </c:pt>
                <c:pt idx="45">
                  <c:v>740.92329726276671</c:v>
                </c:pt>
                <c:pt idx="46">
                  <c:v>751.63298153509663</c:v>
                </c:pt>
                <c:pt idx="47">
                  <c:v>764.31795722151173</c:v>
                </c:pt>
                <c:pt idx="48">
                  <c:v>780.48929345974136</c:v>
                </c:pt>
                <c:pt idx="49">
                  <c:v>811.68837596387232</c:v>
                </c:pt>
              </c:numCache>
            </c:numRef>
          </c:xVal>
          <c:yVal>
            <c:numRef>
              <c:f>Results!$B$69:$B$118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F44B-4A98-B8ED-E7D466433344}"/>
            </c:ext>
          </c:extLst>
        </c:ser>
        <c:dLbls>
          <c:showLegendKey val="0"/>
          <c:showVal val="0"/>
          <c:showCatName val="0"/>
          <c:showSerName val="0"/>
          <c:showPercent val="0"/>
          <c:showBubbleSize val="0"/>
        </c:dLbls>
        <c:axId val="10"/>
        <c:axId val="20"/>
      </c:scatterChart>
      <c:valAx>
        <c:axId val="10"/>
        <c:scaling>
          <c:orientation val="minMax"/>
          <c:min val="300"/>
        </c:scaling>
        <c:delete val="0"/>
        <c:axPos val="b"/>
        <c:title>
          <c:tx>
            <c:rich>
              <a:bodyPr/>
              <a:lstStyle/>
              <a:p>
                <a:pPr>
                  <a:defRPr/>
                </a:pPr>
                <a:r>
                  <a:rPr lang="en-US"/>
                  <a:t>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Results!$B$122:$B$126</c:f>
              <c:strCache>
                <c:ptCount val="5"/>
                <c:pt idx="0">
                  <c:v>EBITDA margin</c:v>
                </c:pt>
                <c:pt idx="1">
                  <c:v>Revenue growth</c:v>
                </c:pt>
                <c:pt idx="2">
                  <c:v>Cost of capital</c:v>
                </c:pt>
                <c:pt idx="3">
                  <c:v>Capex</c:v>
                </c:pt>
                <c:pt idx="4">
                  <c:v>Long-term growth</c:v>
                </c:pt>
              </c:strCache>
            </c:strRef>
          </c:cat>
          <c:val>
            <c:numRef>
              <c:f>Results!$F$122:$F$126</c:f>
              <c:numCache>
                <c:formatCode>#,##0.0_);\(#,##0.0\);"–"_)</c:formatCode>
                <c:ptCount val="5"/>
                <c:pt idx="0">
                  <c:v>99.57337446181748</c:v>
                </c:pt>
                <c:pt idx="1">
                  <c:v>90.934108916991818</c:v>
                </c:pt>
                <c:pt idx="2">
                  <c:v>77.78940164286621</c:v>
                </c:pt>
                <c:pt idx="3">
                  <c:v>48.194821433474772</c:v>
                </c:pt>
                <c:pt idx="4">
                  <c:v>50.57275168557635</c:v>
                </c:pt>
              </c:numCache>
            </c:numRef>
          </c:val>
          <c:extLst>
            <c:ext xmlns:c16="http://schemas.microsoft.com/office/drawing/2014/chart" uri="{C3380CC4-5D6E-409C-BE32-E72D297353CC}">
              <c16:uniqueId val="{00000000-E4A9-47FD-8F6D-C048F84F93BB}"/>
            </c:ext>
          </c:extLst>
        </c:ser>
        <c:ser>
          <c:idx val="1"/>
          <c:order val="1"/>
          <c:tx>
            <c:v>Lowest group mean</c:v>
          </c:tx>
          <c:spPr>
            <a:solidFill>
              <a:srgbClr val="B91C1C"/>
            </a:solidFill>
            <a:ln>
              <a:noFill/>
              <a:prstDash val="solid"/>
            </a:ln>
          </c:spPr>
          <c:invertIfNegative val="0"/>
          <c:cat>
            <c:strRef>
              <c:f>Results!$B$122:$B$126</c:f>
              <c:strCache>
                <c:ptCount val="5"/>
                <c:pt idx="0">
                  <c:v>EBITDA margin</c:v>
                </c:pt>
                <c:pt idx="1">
                  <c:v>Revenue growth</c:v>
                </c:pt>
                <c:pt idx="2">
                  <c:v>Cost of capital</c:v>
                </c:pt>
                <c:pt idx="3">
                  <c:v>Capex</c:v>
                </c:pt>
                <c:pt idx="4">
                  <c:v>Long-term growth</c:v>
                </c:pt>
              </c:strCache>
            </c:strRef>
          </c:cat>
          <c:val>
            <c:numRef>
              <c:f>Results!$G$122:$G$126</c:f>
              <c:numCache>
                <c:formatCode>#,##0.0_);\(#,##0.0\);"–"_)</c:formatCode>
                <c:ptCount val="5"/>
                <c:pt idx="0">
                  <c:v>-106.90932990542859</c:v>
                </c:pt>
                <c:pt idx="1">
                  <c:v>-92.163399633771974</c:v>
                </c:pt>
                <c:pt idx="2">
                  <c:v>-74.088870542653694</c:v>
                </c:pt>
                <c:pt idx="3">
                  <c:v>-48.46705403812507</c:v>
                </c:pt>
                <c:pt idx="4">
                  <c:v>-46.025472612048134</c:v>
                </c:pt>
              </c:numCache>
            </c:numRef>
          </c:val>
          <c:extLst>
            <c:ext xmlns:c16="http://schemas.microsoft.com/office/drawing/2014/chart" uri="{C3380CC4-5D6E-409C-BE32-E72D297353CC}">
              <c16:uniqueId val="{00000001-E4A9-47FD-8F6D-C048F84F93BB}"/>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5" t="s">
        <v>20</v>
      </c>
      <c r="C16" s="8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ht="26.25" x14ac:dyDescent="0.45">
      <c r="B67" s="20" t="s">
        <v>83</v>
      </c>
      <c r="C67" s="10" t="s">
        <v>84</v>
      </c>
    </row>
    <row r="68" spans="2:3" ht="12" customHeight="1" x14ac:dyDescent="0.45"/>
    <row r="69" spans="2:3" ht="22.05" customHeight="1" x14ac:dyDescent="0.5">
      <c r="B69" s="7" t="s">
        <v>85</v>
      </c>
      <c r="C69" s="8"/>
    </row>
    <row r="70" spans="2:3" x14ac:dyDescent="0.45">
      <c r="B70" s="9" t="s">
        <v>41</v>
      </c>
      <c r="C70" s="10" t="s">
        <v>86</v>
      </c>
    </row>
    <row r="71" spans="2:3" x14ac:dyDescent="0.45">
      <c r="B71" s="9" t="s">
        <v>87</v>
      </c>
      <c r="C71" s="10" t="s">
        <v>88</v>
      </c>
    </row>
    <row r="72" spans="2:3" ht="16.05" customHeight="1" x14ac:dyDescent="0.45"/>
    <row r="73" spans="2:3" x14ac:dyDescent="0.45">
      <c r="B73" s="87" t="s">
        <v>89</v>
      </c>
      <c r="C73" s="86"/>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Valuation'!A1" display="Valuation"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90</v>
      </c>
      <c r="C3" s="1"/>
      <c r="D3" s="1"/>
      <c r="E3" s="1"/>
      <c r="F3" s="1"/>
      <c r="G3" s="1"/>
      <c r="H3" s="1"/>
      <c r="I3" s="1"/>
      <c r="J3" s="1"/>
    </row>
    <row r="4" spans="1:10" ht="20" customHeight="1" x14ac:dyDescent="0.45">
      <c r="A4" s="5"/>
      <c r="B4" s="22" t="s">
        <v>91</v>
      </c>
      <c r="C4" s="5"/>
      <c r="D4" s="5"/>
      <c r="E4" s="5"/>
      <c r="F4" s="5"/>
      <c r="G4" s="5"/>
      <c r="H4" s="5"/>
      <c r="I4" s="5"/>
      <c r="J4" s="6" t="s">
        <v>92</v>
      </c>
    </row>
    <row r="5" spans="1:10" ht="8" customHeight="1" x14ac:dyDescent="0.45"/>
    <row r="6" spans="1:10" ht="30" customHeight="1" x14ac:dyDescent="0.45">
      <c r="B6" s="88" t="s">
        <v>93</v>
      </c>
      <c r="C6" s="86"/>
      <c r="D6" s="86"/>
      <c r="E6" s="86"/>
      <c r="F6" s="86"/>
      <c r="G6" s="86"/>
      <c r="H6" s="86"/>
      <c r="I6" s="86"/>
      <c r="J6" s="86"/>
    </row>
    <row r="7" spans="1:10" ht="6" customHeight="1" x14ac:dyDescent="0.45"/>
    <row r="8" spans="1:10" ht="22.05" customHeight="1" x14ac:dyDescent="0.5">
      <c r="B8" s="7" t="s">
        <v>94</v>
      </c>
      <c r="C8" s="8"/>
      <c r="D8" s="8"/>
      <c r="E8" s="8"/>
      <c r="F8" s="8"/>
      <c r="G8" s="8"/>
      <c r="H8" s="8"/>
      <c r="I8" s="8"/>
      <c r="J8" s="8"/>
    </row>
    <row r="9" spans="1:10" ht="18" customHeight="1" x14ac:dyDescent="0.45">
      <c r="B9" s="13" t="s">
        <v>95</v>
      </c>
    </row>
    <row r="10" spans="1:10" ht="18" customHeight="1" x14ac:dyDescent="0.45">
      <c r="B10" s="23" t="s">
        <v>96</v>
      </c>
      <c r="C10" s="23" t="s">
        <v>97</v>
      </c>
      <c r="D10" s="24" t="s">
        <v>98</v>
      </c>
      <c r="E10" s="23" t="s">
        <v>99</v>
      </c>
      <c r="F10" s="5"/>
      <c r="G10" s="5"/>
      <c r="H10" s="5"/>
      <c r="I10" s="5"/>
      <c r="J10" s="23" t="s">
        <v>100</v>
      </c>
    </row>
    <row r="11" spans="1:10" x14ac:dyDescent="0.45">
      <c r="B11" s="25" t="s">
        <v>101</v>
      </c>
      <c r="C11" s="26" t="s">
        <v>102</v>
      </c>
      <c r="D11" s="27">
        <v>600</v>
      </c>
      <c r="E11" s="26" t="s">
        <v>103</v>
      </c>
      <c r="F11" s="28"/>
      <c r="G11" s="28"/>
      <c r="H11" s="28"/>
      <c r="I11" s="28"/>
      <c r="J11" s="29" t="s">
        <v>104</v>
      </c>
    </row>
    <row r="12" spans="1:10" x14ac:dyDescent="0.45">
      <c r="B12" s="25" t="s">
        <v>105</v>
      </c>
      <c r="C12" s="26" t="s">
        <v>102</v>
      </c>
      <c r="D12" s="27">
        <v>310</v>
      </c>
      <c r="E12" s="26" t="s">
        <v>103</v>
      </c>
      <c r="F12" s="28"/>
      <c r="G12" s="28"/>
      <c r="H12" s="28"/>
      <c r="I12" s="28"/>
      <c r="J12" s="29"/>
    </row>
    <row r="13" spans="1:10" x14ac:dyDescent="0.45">
      <c r="B13" s="25" t="s">
        <v>106</v>
      </c>
      <c r="C13" s="26"/>
      <c r="D13" s="30">
        <v>0.17</v>
      </c>
      <c r="E13" s="26" t="s">
        <v>103</v>
      </c>
      <c r="F13" s="28"/>
      <c r="G13" s="28"/>
      <c r="H13" s="28"/>
      <c r="I13" s="28"/>
      <c r="J13" s="29"/>
    </row>
    <row r="14" spans="1:10" ht="23.25" x14ac:dyDescent="0.45">
      <c r="B14" s="25" t="s">
        <v>107</v>
      </c>
      <c r="C14" s="26" t="s">
        <v>108</v>
      </c>
      <c r="D14" s="31">
        <v>0.8</v>
      </c>
      <c r="E14" s="26" t="s">
        <v>103</v>
      </c>
      <c r="F14" s="28"/>
      <c r="G14" s="28"/>
      <c r="H14" s="28"/>
      <c r="I14" s="28"/>
      <c r="J14" s="29" t="s">
        <v>109</v>
      </c>
    </row>
    <row r="15" spans="1:10" ht="8" customHeight="1" x14ac:dyDescent="0.45"/>
    <row r="16" spans="1:10" ht="22.05" customHeight="1" x14ac:dyDescent="0.5">
      <c r="B16" s="7" t="s">
        <v>110</v>
      </c>
      <c r="C16" s="8"/>
      <c r="D16" s="8"/>
      <c r="E16" s="8"/>
      <c r="F16" s="8"/>
      <c r="G16" s="8"/>
      <c r="H16" s="8"/>
      <c r="I16" s="8"/>
      <c r="J16" s="8"/>
    </row>
    <row r="17" spans="2:10" ht="18" customHeight="1" x14ac:dyDescent="0.45">
      <c r="B17" s="13" t="s">
        <v>111</v>
      </c>
    </row>
    <row r="18" spans="2:10" ht="18" customHeight="1" x14ac:dyDescent="0.45">
      <c r="B18" s="23" t="s">
        <v>96</v>
      </c>
      <c r="C18" s="23" t="s">
        <v>97</v>
      </c>
      <c r="D18" s="24" t="s">
        <v>98</v>
      </c>
      <c r="E18" s="23" t="s">
        <v>99</v>
      </c>
      <c r="F18" s="24" t="s">
        <v>112</v>
      </c>
      <c r="G18" s="24" t="s">
        <v>113</v>
      </c>
      <c r="H18" s="24" t="s">
        <v>114</v>
      </c>
      <c r="I18" s="24" t="s">
        <v>115</v>
      </c>
      <c r="J18" s="23" t="s">
        <v>100</v>
      </c>
    </row>
    <row r="19" spans="2:10" x14ac:dyDescent="0.45">
      <c r="B19" s="25" t="s">
        <v>116</v>
      </c>
      <c r="C19" s="26" t="s">
        <v>117</v>
      </c>
      <c r="D19" s="32" cm="1">
        <f t="array" aca="1" ref="D19" ca="1">_xll.VoseInput("Revenue growth","per year")+_xll.VosePERT(F19,G19,H19,U_G)</f>
        <v>4.6410680435190532E-2</v>
      </c>
      <c r="E19" s="26" t="s">
        <v>118</v>
      </c>
      <c r="F19" s="30">
        <v>0.02</v>
      </c>
      <c r="G19" s="30">
        <v>0.06</v>
      </c>
      <c r="H19" s="30">
        <v>0.09</v>
      </c>
      <c r="I19" s="33" cm="1">
        <f t="array" ref="I19">IF(AND(F19&lt;=G19,G19&lt;=H19,F19&lt;H19,F19&gt;=0,H19&lt;=1),_xll.VoseMean(_xll.VosePERTObject(F19,G19,H19)),"✗ range")</f>
        <v>5.8333333333333327E-2</v>
      </c>
      <c r="J19" s="29" t="s">
        <v>119</v>
      </c>
    </row>
    <row r="20" spans="2:10" x14ac:dyDescent="0.45">
      <c r="B20" s="25" t="s">
        <v>120</v>
      </c>
      <c r="C20" s="26"/>
      <c r="D20" s="32" cm="1">
        <f t="array" aca="1" ref="D20" ca="1">_xll.VoseInput("EBITDA margin","")+_xll.VosePERT(F20,G20,H20,U_M)</f>
        <v>0.20603845772899315</v>
      </c>
      <c r="E20" s="26" t="s">
        <v>118</v>
      </c>
      <c r="F20" s="30">
        <v>0.16</v>
      </c>
      <c r="G20" s="30">
        <v>0.2</v>
      </c>
      <c r="H20" s="30">
        <v>0.22</v>
      </c>
      <c r="I20" s="33" cm="1">
        <f t="array" ref="I20">IF(AND(F20&lt;=G20,G20&lt;=H20,F20&lt;H20,F20&gt;=0,H20&lt;=1),_xll.VoseMean(_xll.VosePERTObject(F20,G20,H20)),"✗ range")</f>
        <v>0.19666666666666668</v>
      </c>
      <c r="J20" s="29" t="s">
        <v>121</v>
      </c>
    </row>
    <row r="21" spans="2:10" x14ac:dyDescent="0.45">
      <c r="B21" s="25" t="s">
        <v>122</v>
      </c>
      <c r="C21" s="26" t="s">
        <v>123</v>
      </c>
      <c r="D21" s="34">
        <v>3</v>
      </c>
      <c r="E21" s="26" t="s">
        <v>103</v>
      </c>
      <c r="F21" s="28"/>
      <c r="G21" s="28"/>
      <c r="H21" s="28"/>
      <c r="I21" s="28"/>
      <c r="J21" s="29" t="s">
        <v>124</v>
      </c>
    </row>
    <row r="22" spans="2:10" ht="23.25" x14ac:dyDescent="0.45">
      <c r="B22" s="25" t="s">
        <v>125</v>
      </c>
      <c r="C22" s="26" t="s">
        <v>126</v>
      </c>
      <c r="D22" s="35">
        <v>0.6</v>
      </c>
      <c r="E22" s="26" t="s">
        <v>127</v>
      </c>
      <c r="F22" s="28"/>
      <c r="G22" s="28"/>
      <c r="H22" s="28"/>
      <c r="I22" s="28"/>
      <c r="J22" s="29" t="s">
        <v>128</v>
      </c>
    </row>
    <row r="23" spans="2:10" ht="23.25" x14ac:dyDescent="0.45">
      <c r="B23" s="36" t="s">
        <v>129</v>
      </c>
      <c r="C23" s="26" t="s">
        <v>130</v>
      </c>
      <c r="D23" s="37">
        <f t="array" aca="1" ref="D23:D24" ca="1">_xll.VoseCopulaBiNormal(Corr_GM)</f>
        <v>0.201306066091335</v>
      </c>
      <c r="E23" s="26" t="s">
        <v>131</v>
      </c>
      <c r="F23" s="28"/>
      <c r="G23" s="28"/>
      <c r="H23" s="28"/>
      <c r="I23" s="28"/>
      <c r="J23" s="29" t="s">
        <v>132</v>
      </c>
    </row>
    <row r="24" spans="2:10" x14ac:dyDescent="0.45">
      <c r="B24" s="36" t="s">
        <v>133</v>
      </c>
      <c r="C24" s="26" t="s">
        <v>130</v>
      </c>
      <c r="D24" s="37">
        <f ca="1"/>
        <v>0.77496051556892898</v>
      </c>
      <c r="E24" s="26" t="s">
        <v>131</v>
      </c>
      <c r="F24" s="28"/>
      <c r="G24" s="28"/>
      <c r="H24" s="28"/>
      <c r="I24" s="28"/>
      <c r="J24" s="29" t="s">
        <v>134</v>
      </c>
    </row>
    <row r="25" spans="2:10" x14ac:dyDescent="0.45">
      <c r="B25" s="25" t="s">
        <v>135</v>
      </c>
      <c r="C25" s="26" t="s">
        <v>136</v>
      </c>
      <c r="D25" s="32" cm="1">
        <f t="array" aca="1" ref="D25" ca="1">_xll.VoseInput("Capex","of revenue")+_xll.VosePERT(F25,G25,H25)</f>
        <v>5.1104981179812263E-2</v>
      </c>
      <c r="E25" s="26" t="s">
        <v>137</v>
      </c>
      <c r="F25" s="30">
        <v>0.03</v>
      </c>
      <c r="G25" s="30">
        <v>0.04</v>
      </c>
      <c r="H25" s="30">
        <v>5.5E-2</v>
      </c>
      <c r="I25" s="33" cm="1">
        <f t="array" ref="I25">IF(AND(F25&lt;=G25,G25&lt;=H25,F25&lt;H25,F25&gt;=0,H25&lt;=1),_xll.VoseMean(_xll.VosePERTObject(F25,G25,H25)),"✗ range")</f>
        <v>4.0833333333333333E-2</v>
      </c>
      <c r="J25" s="29" t="s">
        <v>138</v>
      </c>
    </row>
    <row r="26" spans="2:10" x14ac:dyDescent="0.45">
      <c r="B26" s="25" t="s">
        <v>139</v>
      </c>
      <c r="C26" s="26" t="s">
        <v>136</v>
      </c>
      <c r="D26" s="30">
        <v>0.03</v>
      </c>
      <c r="E26" s="26" t="s">
        <v>103</v>
      </c>
      <c r="F26" s="28"/>
      <c r="G26" s="28"/>
      <c r="H26" s="28"/>
      <c r="I26" s="28"/>
      <c r="J26" s="29"/>
    </row>
    <row r="27" spans="2:10" x14ac:dyDescent="0.45">
      <c r="B27" s="25" t="s">
        <v>140</v>
      </c>
      <c r="C27" s="26" t="s">
        <v>141</v>
      </c>
      <c r="D27" s="31">
        <v>0.1</v>
      </c>
      <c r="E27" s="26" t="s">
        <v>103</v>
      </c>
      <c r="F27" s="28"/>
      <c r="G27" s="28"/>
      <c r="H27" s="28"/>
      <c r="I27" s="28"/>
      <c r="J27" s="29"/>
    </row>
    <row r="28" spans="2:10" x14ac:dyDescent="0.45">
      <c r="B28" s="25" t="s">
        <v>142</v>
      </c>
      <c r="C28" s="26"/>
      <c r="D28" s="31">
        <v>0.25</v>
      </c>
      <c r="E28" s="26" t="s">
        <v>103</v>
      </c>
      <c r="F28" s="28"/>
      <c r="G28" s="28"/>
      <c r="H28" s="28"/>
      <c r="I28" s="28"/>
      <c r="J28" s="29"/>
    </row>
    <row r="29" spans="2:10" ht="8" customHeight="1" x14ac:dyDescent="0.45"/>
    <row r="30" spans="2:10" ht="22.05" customHeight="1" x14ac:dyDescent="0.5">
      <c r="B30" s="7" t="s">
        <v>143</v>
      </c>
      <c r="C30" s="8"/>
      <c r="D30" s="8"/>
      <c r="E30" s="8"/>
      <c r="F30" s="8"/>
      <c r="G30" s="8"/>
      <c r="H30" s="8"/>
      <c r="I30" s="8"/>
      <c r="J30" s="8"/>
    </row>
    <row r="31" spans="2:10" ht="18" customHeight="1" x14ac:dyDescent="0.45">
      <c r="B31" s="13" t="s">
        <v>144</v>
      </c>
    </row>
    <row r="32" spans="2:10" ht="18" customHeight="1" x14ac:dyDescent="0.45">
      <c r="B32" s="23" t="s">
        <v>96</v>
      </c>
      <c r="C32" s="23" t="s">
        <v>97</v>
      </c>
      <c r="D32" s="24" t="s">
        <v>98</v>
      </c>
      <c r="E32" s="23" t="s">
        <v>99</v>
      </c>
      <c r="F32" s="24" t="s">
        <v>112</v>
      </c>
      <c r="G32" s="24" t="s">
        <v>113</v>
      </c>
      <c r="H32" s="24" t="s">
        <v>114</v>
      </c>
      <c r="I32" s="24" t="s">
        <v>115</v>
      </c>
      <c r="J32" s="23" t="s">
        <v>100</v>
      </c>
    </row>
    <row r="33" spans="2:10" x14ac:dyDescent="0.45">
      <c r="B33" s="25" t="s">
        <v>145</v>
      </c>
      <c r="C33" s="26" t="s">
        <v>117</v>
      </c>
      <c r="D33" s="32" cm="1">
        <f t="array" aca="1" ref="D33" ca="1">_xll.VoseInput("Cost of capital","per year")+_xll.VosePERT(F33,G33,H33)</f>
        <v>8.6211570359476755E-2</v>
      </c>
      <c r="E33" s="26" t="s">
        <v>137</v>
      </c>
      <c r="F33" s="30">
        <v>7.4999999999999997E-2</v>
      </c>
      <c r="G33" s="30">
        <v>8.5000000000000006E-2</v>
      </c>
      <c r="H33" s="30">
        <v>0.1</v>
      </c>
      <c r="I33" s="33" cm="1">
        <f t="array" ref="I33">IF(AND(F33&lt;=G33,G33&lt;=H33,F33&lt;H33,F33&gt;=0,H33&lt;=1),_xll.VoseMean(_xll.VosePERTObject(F33,G33,H33)),"✗ range")</f>
        <v>8.5833333333333331E-2</v>
      </c>
      <c r="J33" s="29" t="s">
        <v>146</v>
      </c>
    </row>
    <row r="34" spans="2:10" x14ac:dyDescent="0.45">
      <c r="B34" s="25" t="s">
        <v>147</v>
      </c>
      <c r="C34" s="26" t="s">
        <v>117</v>
      </c>
      <c r="D34" s="32" cm="1">
        <f t="array" aca="1" ref="D34" ca="1">_xll.VoseInput("Long-term growth","per year")+_xll.VosePERT(F34,G34,H34)</f>
        <v>2.2319350921480855E-2</v>
      </c>
      <c r="E34" s="26" t="s">
        <v>137</v>
      </c>
      <c r="F34" s="30">
        <v>0.01</v>
      </c>
      <c r="G34" s="30">
        <v>0.02</v>
      </c>
      <c r="H34" s="30">
        <v>0.03</v>
      </c>
      <c r="I34" s="33" cm="1">
        <f t="array" ref="I34">IF(AND(F34&lt;=G34,G34&lt;=H34,F34&lt;H34,F34&gt;=0,H34&lt;=1),_xll.VoseMean(_xll.VosePERTObject(F34,G34,H34)),"✗ range")</f>
        <v>0.02</v>
      </c>
      <c r="J34" s="29" t="s">
        <v>148</v>
      </c>
    </row>
    <row r="35" spans="2:10" x14ac:dyDescent="0.45">
      <c r="B35" s="25" t="s">
        <v>149</v>
      </c>
      <c r="C35" s="26" t="s">
        <v>150</v>
      </c>
      <c r="D35" s="38" cm="1">
        <f t="array" aca="1" ref="D35" ca="1">_xll.VoseInput("Exit multiple","× EBITDA")+_xll.VosePERT(F35,G35,H35)</f>
        <v>8.8876074942868257</v>
      </c>
      <c r="E35" s="26" t="s">
        <v>137</v>
      </c>
      <c r="F35" s="39">
        <v>7</v>
      </c>
      <c r="G35" s="39">
        <v>9</v>
      </c>
      <c r="H35" s="39">
        <v>11</v>
      </c>
      <c r="I35" s="40" cm="1">
        <f t="array" ref="I35">IF(AND(F35&lt;=G35,G35&lt;=H35,F35&lt;H35),_xll.VoseMean(_xll.VosePERTObject(F35,G35,H35)),"✗ range")</f>
        <v>9</v>
      </c>
      <c r="J35" s="29" t="s">
        <v>151</v>
      </c>
    </row>
    <row r="36" spans="2:10" ht="8" customHeight="1" x14ac:dyDescent="0.45"/>
  </sheetData>
  <mergeCells count="1">
    <mergeCell ref="B6:J6"/>
  </mergeCells>
  <conditionalFormatting sqref="I19:I20">
    <cfRule type="expression" dxfId="8" priority="1">
      <formula>LEFT($I19,1)="✗"</formula>
    </cfRule>
  </conditionalFormatting>
  <conditionalFormatting sqref="I25">
    <cfRule type="expression" dxfId="7" priority="3">
      <formula>LEFT($I25,1)="✗"</formula>
    </cfRule>
  </conditionalFormatting>
  <conditionalFormatting sqref="I33:I35">
    <cfRule type="expression" dxfId="6" priority="4">
      <formula>LEFT($I33,1)="✗"</formula>
    </cfRule>
  </conditionalFormatting>
  <dataValidations count="6">
    <dataValidation type="decimal" operator="greaterThan" showErrorMessage="1" errorTitle="Positive value" error="Enter a value greater than zero." sqref="D11:D12" xr:uid="{00000000-0002-0000-0100-000000000000}">
      <formula1>0</formula1>
    </dataValidation>
    <dataValidation type="decimal" showErrorMessage="1" errorTitle="Probability" error="Enter a value between 0% and 100%." sqref="D26:D28 D13:D14" xr:uid="{00000000-0002-0000-0100-000002000000}">
      <formula1>0</formula1>
      <formula2>1</formula2>
    </dataValidation>
    <dataValidation type="custom" showErrorMessage="1" errorTitle="PERT range" error="Low must be below High, with Most likely between them, all between 0% and 100%." sqref="F33:H34 F25:H25 F19:H20" xr:uid="{00000000-0002-0000-0100-000004000000}">
      <formula1>AND($F19&lt;=$G19,$G19&lt;=$H19,$F19&lt;$H19,$F19&gt;=0,$H19&lt;=1)</formula1>
    </dataValidation>
    <dataValidation type="whole" showErrorMessage="1" errorTitle="Whole number" error="Enter a whole number from 1 to 5." sqref="D21" xr:uid="{00000000-0002-0000-0100-000006000000}">
      <formula1>1</formula1>
      <formula2>5</formula2>
    </dataValidation>
    <dataValidation type="decimal" showErrorMessage="1" errorTitle="Correlation" error="Enter a correlation between -0.99 and 0.99." sqref="D22" xr:uid="{00000000-0002-0000-0100-000007000000}">
      <formula1>-0.99</formula1>
      <formula2>0.99</formula2>
    </dataValidation>
    <dataValidation type="custom" showErrorMessage="1" errorTitle="PERT range" error="Low must be below High, with Most likely between them." sqref="F35:H35" xr:uid="{00000000-0002-0000-0100-00000E000000}">
      <formula1>AND($F35&lt;=$G35,$G35&lt;=$H35,$F35&lt;$H35)</formula1>
    </dataValidation>
  </dataValidations>
  <hyperlinks>
    <hyperlink ref="B4" location="'About'!A1" display="◂  About" xr:uid="{00000000-0004-0000-0100-000000000000}"/>
    <hyperlink ref="J4" location="'Valuation'!A1" display="Next:  Valuatio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K64"/>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6" customWidth="1"/>
    <col min="3" max="4" width="10" customWidth="1"/>
    <col min="5" max="5" width="3" customWidth="1"/>
    <col min="6" max="11" width="1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152</v>
      </c>
      <c r="C3" s="1"/>
      <c r="D3" s="1"/>
      <c r="E3" s="1"/>
      <c r="F3" s="1"/>
      <c r="G3" s="1"/>
      <c r="H3" s="1"/>
      <c r="I3" s="1"/>
      <c r="J3" s="1"/>
      <c r="K3" s="1"/>
    </row>
    <row r="4" spans="1:11" ht="20" customHeight="1" x14ac:dyDescent="0.45">
      <c r="A4" s="5"/>
      <c r="B4" s="22" t="s">
        <v>153</v>
      </c>
      <c r="C4" s="5"/>
      <c r="D4" s="5"/>
      <c r="E4" s="5"/>
      <c r="F4" s="5"/>
      <c r="G4" s="5"/>
      <c r="H4" s="5"/>
      <c r="I4" s="5"/>
      <c r="J4" s="5"/>
      <c r="K4" s="6" t="s">
        <v>154</v>
      </c>
    </row>
    <row r="5" spans="1:11" ht="8" customHeight="1" x14ac:dyDescent="0.45"/>
    <row r="6" spans="1:11" ht="16.05" customHeight="1" x14ac:dyDescent="0.45">
      <c r="B6" s="41" t="s">
        <v>155</v>
      </c>
      <c r="C6" s="42"/>
      <c r="D6" s="43" t="s">
        <v>156</v>
      </c>
      <c r="E6" s="44"/>
      <c r="F6" s="45">
        <v>0</v>
      </c>
      <c r="G6" s="45">
        <f>F6+1</f>
        <v>1</v>
      </c>
      <c r="H6" s="45">
        <f>G6+1</f>
        <v>2</v>
      </c>
      <c r="I6" s="45">
        <f>H6+1</f>
        <v>3</v>
      </c>
      <c r="J6" s="45">
        <f>I6+1</f>
        <v>4</v>
      </c>
      <c r="K6" s="45">
        <f>J6+1</f>
        <v>5</v>
      </c>
    </row>
    <row r="7" spans="1:11" ht="16.05" customHeight="1" x14ac:dyDescent="0.45">
      <c r="B7" s="5"/>
      <c r="C7" s="5"/>
      <c r="D7" s="5"/>
      <c r="E7" s="5"/>
      <c r="F7" s="5"/>
      <c r="G7" s="5"/>
      <c r="H7" s="5"/>
      <c r="I7" s="5"/>
      <c r="J7" s="5"/>
      <c r="K7" s="5"/>
    </row>
    <row r="8" spans="1:11" ht="6" customHeight="1" x14ac:dyDescent="0.45"/>
    <row r="9" spans="1:11" ht="22.05" customHeight="1" x14ac:dyDescent="0.5">
      <c r="B9" s="7" t="s">
        <v>157</v>
      </c>
      <c r="C9" s="8"/>
      <c r="D9" s="8"/>
      <c r="E9" s="8"/>
      <c r="F9" s="8"/>
      <c r="G9" s="8"/>
      <c r="H9" s="8"/>
      <c r="I9" s="8"/>
      <c r="J9" s="8"/>
      <c r="K9" s="8"/>
    </row>
    <row r="10" spans="1:11" ht="18" customHeight="1" x14ac:dyDescent="0.45">
      <c r="B10" s="13" t="s">
        <v>158</v>
      </c>
    </row>
    <row r="11" spans="1:11" x14ac:dyDescent="0.45">
      <c r="B11" s="25" t="s">
        <v>159</v>
      </c>
      <c r="C11" s="26" t="s">
        <v>102</v>
      </c>
      <c r="D11" s="28"/>
      <c r="E11" s="28"/>
      <c r="F11" s="46">
        <f>Rev0</f>
        <v>310</v>
      </c>
      <c r="G11" s="46">
        <f ca="1">Rev0*(1+Growth)^G$6</f>
        <v>324.38731093490907</v>
      </c>
      <c r="H11" s="46">
        <f ca="1">Rev0*(1+Growth)^H$6</f>
        <v>339.44234675993988</v>
      </c>
      <c r="I11" s="46">
        <f ca="1">Rev0*(1+Growth)^I$6</f>
        <v>355.1960970415866</v>
      </c>
      <c r="J11" s="46">
        <f ca="1">Rev0*(1+Growth)^J$6</f>
        <v>371.6809895932106</v>
      </c>
      <c r="K11" s="46">
        <f ca="1">Rev0*(1+Growth)^K$6</f>
        <v>388.93095722505637</v>
      </c>
    </row>
    <row r="12" spans="1:11" x14ac:dyDescent="0.45">
      <c r="B12" s="25" t="s">
        <v>160</v>
      </c>
      <c r="C12" s="26"/>
      <c r="D12" s="28"/>
      <c r="E12" s="28"/>
      <c r="F12" s="33">
        <f>M0</f>
        <v>0.17</v>
      </c>
      <c r="G12" s="33">
        <f ca="1">M0+(MarginSS-M0)*MIN(G$6,RampYears)/RampYears</f>
        <v>0.18201281924299773</v>
      </c>
      <c r="H12" s="33">
        <f ca="1">M0+(MarginSS-M0)*MIN(H$6,RampYears)/RampYears</f>
        <v>0.19402563848599544</v>
      </c>
      <c r="I12" s="33">
        <f ca="1">M0+(MarginSS-M0)*MIN(I$6,RampYears)/RampYears</f>
        <v>0.20603845772899315</v>
      </c>
      <c r="J12" s="33">
        <f ca="1">M0+(MarginSS-M0)*MIN(J$6,RampYears)/RampYears</f>
        <v>0.20603845772899315</v>
      </c>
      <c r="K12" s="33">
        <f ca="1">M0+(MarginSS-M0)*MIN(K$6,RampYears)/RampYears</f>
        <v>0.20603845772899315</v>
      </c>
    </row>
    <row r="13" spans="1:11" x14ac:dyDescent="0.45">
      <c r="B13" s="47" t="s">
        <v>161</v>
      </c>
      <c r="C13" s="26" t="s">
        <v>102</v>
      </c>
      <c r="D13" s="28"/>
      <c r="E13" s="28"/>
      <c r="F13" s="48">
        <f t="shared" ref="F13:K13" si="0">F11*F12</f>
        <v>52.7</v>
      </c>
      <c r="G13" s="48">
        <f t="shared" ca="1" si="0"/>
        <v>59.042648989917701</v>
      </c>
      <c r="H13" s="48">
        <f t="shared" ca="1" si="0"/>
        <v>65.860518059282001</v>
      </c>
      <c r="I13" s="48">
        <f t="shared" ca="1" si="0"/>
        <v>73.184056025806285</v>
      </c>
      <c r="J13" s="48">
        <f t="shared" ca="1" si="0"/>
        <v>76.580577862971069</v>
      </c>
      <c r="K13" s="48">
        <f t="shared" ca="1" si="0"/>
        <v>80.134734589711627</v>
      </c>
    </row>
    <row r="14" spans="1:11" x14ac:dyDescent="0.45">
      <c r="B14" s="25" t="s">
        <v>139</v>
      </c>
      <c r="C14" s="26" t="s">
        <v>102</v>
      </c>
      <c r="D14" s="28"/>
      <c r="E14" s="28"/>
      <c r="F14" s="46"/>
      <c r="G14" s="46">
        <f ca="1">DA*G11</f>
        <v>9.7316193280472714</v>
      </c>
      <c r="H14" s="46">
        <f ca="1">DA*H11</f>
        <v>10.183270402798197</v>
      </c>
      <c r="I14" s="46">
        <f ca="1">DA*I11</f>
        <v>10.655882911247598</v>
      </c>
      <c r="J14" s="46">
        <f ca="1">DA*J11</f>
        <v>11.150429687796317</v>
      </c>
      <c r="K14" s="46">
        <f ca="1">DA*K11</f>
        <v>11.667928716751691</v>
      </c>
    </row>
    <row r="15" spans="1:11" x14ac:dyDescent="0.45">
      <c r="B15" s="25" t="s">
        <v>162</v>
      </c>
      <c r="C15" s="26" t="s">
        <v>102</v>
      </c>
      <c r="D15" s="28"/>
      <c r="E15" s="28"/>
      <c r="F15" s="46"/>
      <c r="G15" s="46">
        <f ca="1">(G13-G14)*(1-TaxRate)</f>
        <v>36.983272246402819</v>
      </c>
      <c r="H15" s="46">
        <f ca="1">(H13-H14)*(1-TaxRate)</f>
        <v>41.757935742362847</v>
      </c>
      <c r="I15" s="46">
        <f ca="1">(I13-I14)*(1-TaxRate)</f>
        <v>46.896129835919012</v>
      </c>
      <c r="J15" s="46">
        <f ca="1">(J13-J14)*(1-TaxRate)</f>
        <v>49.072611131381066</v>
      </c>
      <c r="K15" s="46">
        <f ca="1">(K13-K14)*(1-TaxRate)</f>
        <v>51.350104404719957</v>
      </c>
    </row>
    <row r="16" spans="1:11" x14ac:dyDescent="0.45">
      <c r="B16" s="25" t="s">
        <v>135</v>
      </c>
      <c r="C16" s="26" t="s">
        <v>102</v>
      </c>
      <c r="D16" s="28"/>
      <c r="E16" s="28"/>
      <c r="F16" s="46"/>
      <c r="G16" s="46">
        <f ca="1">-CapexPct*G11</f>
        <v>-16.577807420298438</v>
      </c>
      <c r="H16" s="46">
        <f ca="1">-CapexPct*H11</f>
        <v>-17.347194742798035</v>
      </c>
      <c r="I16" s="46">
        <f ca="1">-CapexPct*I11</f>
        <v>-18.152289854453052</v>
      </c>
      <c r="J16" s="46">
        <f ca="1">-CapexPct*J11</f>
        <v>-18.994749978055026</v>
      </c>
      <c r="K16" s="46">
        <f ca="1">-CapexPct*K11</f>
        <v>-19.876309249232875</v>
      </c>
    </row>
    <row r="17" spans="2:11" x14ac:dyDescent="0.45">
      <c r="B17" s="25" t="s">
        <v>163</v>
      </c>
      <c r="C17" s="26" t="s">
        <v>102</v>
      </c>
      <c r="D17" s="28"/>
      <c r="E17" s="28"/>
      <c r="F17" s="46"/>
      <c r="G17" s="46">
        <f ca="1">-NWCPct*(G11-F11)</f>
        <v>-1.4387310934909068</v>
      </c>
      <c r="H17" s="46">
        <f ca="1">-NWCPct*(H11-G11)</f>
        <v>-1.5055035825030814</v>
      </c>
      <c r="I17" s="46">
        <f ca="1">-NWCPct*(I11-H11)</f>
        <v>-1.5753750281646717</v>
      </c>
      <c r="J17" s="46">
        <f ca="1">-NWCPct*(J11-I11)</f>
        <v>-1.6484892551624002</v>
      </c>
      <c r="K17" s="46">
        <f ca="1">-NWCPct*(K11-J11)</f>
        <v>-1.7249967631845777</v>
      </c>
    </row>
    <row r="18" spans="2:11" x14ac:dyDescent="0.45">
      <c r="B18" s="49" t="s">
        <v>164</v>
      </c>
      <c r="C18" s="50" t="s">
        <v>102</v>
      </c>
      <c r="D18" s="51"/>
      <c r="E18" s="51"/>
      <c r="F18" s="52"/>
      <c r="G18" s="52">
        <f ca="1">G15+G14+G16+G17</f>
        <v>28.698353060660747</v>
      </c>
      <c r="H18" s="52">
        <f ca="1">H15+H14+H16+H17</f>
        <v>33.088507819859927</v>
      </c>
      <c r="I18" s="52">
        <f ca="1">I15+I14+I16+I17</f>
        <v>37.824347864548891</v>
      </c>
      <c r="J18" s="52">
        <f ca="1">J15+J14+J16+J17</f>
        <v>39.579801585959956</v>
      </c>
      <c r="K18" s="52">
        <f ca="1">K15+K14+K16+K17</f>
        <v>41.416727109054193</v>
      </c>
    </row>
    <row r="19" spans="2:11" x14ac:dyDescent="0.45">
      <c r="B19" s="25" t="s">
        <v>165</v>
      </c>
      <c r="C19" s="26"/>
      <c r="D19" s="28"/>
      <c r="E19" s="28"/>
      <c r="F19" s="53"/>
      <c r="G19" s="53">
        <f ca="1">1/(1+WACC)^G$6</f>
        <v>0.9206309592790054</v>
      </c>
      <c r="H19" s="53">
        <f ca="1">1/(1+WACC)^H$6</f>
        <v>0.8475613631829817</v>
      </c>
      <c r="I19" s="53">
        <f ca="1">1/(1+WACC)^I$6</f>
        <v>0.78029123083496987</v>
      </c>
      <c r="J19" s="53">
        <f ca="1">1/(1+WACC)^J$6</f>
        <v>0.71836026436059419</v>
      </c>
      <c r="K19" s="53">
        <f ca="1">1/(1+WACC)^K$6</f>
        <v>0.66134469928621376</v>
      </c>
    </row>
    <row r="20" spans="2:11" x14ac:dyDescent="0.45">
      <c r="B20" s="25" t="s">
        <v>166</v>
      </c>
      <c r="C20" s="26" t="s">
        <v>102</v>
      </c>
      <c r="D20" s="48">
        <f ca="1">SUM(F20:K20)</f>
        <v>139.80242971820053</v>
      </c>
      <c r="E20" s="28"/>
      <c r="F20" s="46"/>
      <c r="G20" s="46">
        <f ca="1">G18*G19</f>
        <v>26.420592307963684</v>
      </c>
      <c r="H20" s="46">
        <f ca="1">H18*H19</f>
        <v>28.04454079349123</v>
      </c>
      <c r="I20" s="46">
        <f ca="1">I18*I19</f>
        <v>29.514006950758919</v>
      </c>
      <c r="J20" s="46">
        <f ca="1">J18*J19</f>
        <v>28.432556730630058</v>
      </c>
      <c r="K20" s="46">
        <f ca="1">K18*K19</f>
        <v>27.390732935356624</v>
      </c>
    </row>
    <row r="21" spans="2:11" ht="8" customHeight="1" x14ac:dyDescent="0.45"/>
    <row r="22" spans="2:11" ht="22.05" customHeight="1" x14ac:dyDescent="0.5">
      <c r="B22" s="7" t="s">
        <v>167</v>
      </c>
      <c r="C22" s="8"/>
      <c r="D22" s="8"/>
      <c r="E22" s="8"/>
      <c r="F22" s="8"/>
      <c r="G22" s="8"/>
      <c r="H22" s="8"/>
      <c r="I22" s="8"/>
      <c r="J22" s="8"/>
      <c r="K22" s="8"/>
    </row>
    <row r="23" spans="2:11" ht="18" customHeight="1" x14ac:dyDescent="0.45">
      <c r="B23" s="13" t="s">
        <v>168</v>
      </c>
    </row>
    <row r="24" spans="2:11" x14ac:dyDescent="0.45">
      <c r="B24" s="25" t="s">
        <v>159</v>
      </c>
      <c r="C24" s="26" t="s">
        <v>102</v>
      </c>
      <c r="D24" s="28"/>
      <c r="E24" s="28"/>
      <c r="F24" s="46">
        <f>Rev0</f>
        <v>310</v>
      </c>
      <c r="G24" s="46">
        <f>Rev0*(1+Growth_ML)^G$6</f>
        <v>328.6</v>
      </c>
      <c r="H24" s="46">
        <f>Rev0*(1+Growth_ML)^H$6</f>
        <v>348.31600000000003</v>
      </c>
      <c r="I24" s="46">
        <f>Rev0*(1+Growth_ML)^I$6</f>
        <v>369.21496000000008</v>
      </c>
      <c r="J24" s="46">
        <f>Rev0*(1+Growth_ML)^J$6</f>
        <v>391.36785760000009</v>
      </c>
      <c r="K24" s="46">
        <f>Rev0*(1+Growth_ML)^K$6</f>
        <v>414.84992905600018</v>
      </c>
    </row>
    <row r="25" spans="2:11" x14ac:dyDescent="0.45">
      <c r="B25" s="25" t="s">
        <v>160</v>
      </c>
      <c r="C25" s="26"/>
      <c r="D25" s="28"/>
      <c r="E25" s="28"/>
      <c r="F25" s="33">
        <f>M0</f>
        <v>0.17</v>
      </c>
      <c r="G25" s="33">
        <f>M0+(MarginSS_ML-M0)*MIN(G$6,RampYears)/RampYears</f>
        <v>0.18000000000000002</v>
      </c>
      <c r="H25" s="33">
        <f>M0+(MarginSS_ML-M0)*MIN(H$6,RampYears)/RampYears</f>
        <v>0.19</v>
      </c>
      <c r="I25" s="33">
        <f>M0+(MarginSS_ML-M0)*MIN(I$6,RampYears)/RampYears</f>
        <v>0.2</v>
      </c>
      <c r="J25" s="33">
        <f>M0+(MarginSS_ML-M0)*MIN(J$6,RampYears)/RampYears</f>
        <v>0.2</v>
      </c>
      <c r="K25" s="33">
        <f>M0+(MarginSS_ML-M0)*MIN(K$6,RampYears)/RampYears</f>
        <v>0.2</v>
      </c>
    </row>
    <row r="26" spans="2:11" x14ac:dyDescent="0.45">
      <c r="B26" s="47" t="s">
        <v>161</v>
      </c>
      <c r="C26" s="26" t="s">
        <v>102</v>
      </c>
      <c r="D26" s="28"/>
      <c r="E26" s="28"/>
      <c r="F26" s="48">
        <f t="shared" ref="F26:K26" si="1">F24*F25</f>
        <v>52.7</v>
      </c>
      <c r="G26" s="48">
        <f t="shared" si="1"/>
        <v>59.14800000000001</v>
      </c>
      <c r="H26" s="48">
        <f t="shared" si="1"/>
        <v>66.180040000000005</v>
      </c>
      <c r="I26" s="48">
        <f t="shared" si="1"/>
        <v>73.842992000000024</v>
      </c>
      <c r="J26" s="48">
        <f t="shared" si="1"/>
        <v>78.273571520000019</v>
      </c>
      <c r="K26" s="48">
        <f t="shared" si="1"/>
        <v>82.969985811200047</v>
      </c>
    </row>
    <row r="27" spans="2:11" x14ac:dyDescent="0.45">
      <c r="B27" s="25" t="s">
        <v>139</v>
      </c>
      <c r="C27" s="26" t="s">
        <v>102</v>
      </c>
      <c r="D27" s="28"/>
      <c r="E27" s="28"/>
      <c r="F27" s="46"/>
      <c r="G27" s="46">
        <f>DA*G24</f>
        <v>9.8580000000000005</v>
      </c>
      <c r="H27" s="46">
        <f>DA*H24</f>
        <v>10.449480000000001</v>
      </c>
      <c r="I27" s="46">
        <f>DA*I24</f>
        <v>11.076448800000001</v>
      </c>
      <c r="J27" s="46">
        <f>DA*J24</f>
        <v>11.741035728000002</v>
      </c>
      <c r="K27" s="46">
        <f>DA*K24</f>
        <v>12.445497871680004</v>
      </c>
    </row>
    <row r="28" spans="2:11" x14ac:dyDescent="0.45">
      <c r="B28" s="25" t="s">
        <v>162</v>
      </c>
      <c r="C28" s="26" t="s">
        <v>102</v>
      </c>
      <c r="D28" s="28"/>
      <c r="E28" s="28"/>
      <c r="F28" s="46"/>
      <c r="G28" s="46">
        <f>(G26-G27)*(1-TaxRate)</f>
        <v>36.967500000000001</v>
      </c>
      <c r="H28" s="46">
        <f>(H26-H27)*(1-TaxRate)</f>
        <v>41.797920000000005</v>
      </c>
      <c r="I28" s="46">
        <f>(I26-I27)*(1-TaxRate)</f>
        <v>47.074907400000015</v>
      </c>
      <c r="J28" s="46">
        <f>(J26-J27)*(1-TaxRate)</f>
        <v>49.89940184400001</v>
      </c>
      <c r="K28" s="46">
        <f>(K26-K27)*(1-TaxRate)</f>
        <v>52.893365954640032</v>
      </c>
    </row>
    <row r="29" spans="2:11" x14ac:dyDescent="0.45">
      <c r="B29" s="25" t="s">
        <v>135</v>
      </c>
      <c r="C29" s="26" t="s">
        <v>102</v>
      </c>
      <c r="D29" s="28"/>
      <c r="E29" s="28"/>
      <c r="F29" s="46"/>
      <c r="G29" s="46">
        <f>-CapexPct_ML*G24</f>
        <v>-13.144000000000002</v>
      </c>
      <c r="H29" s="46">
        <f>-CapexPct_ML*H24</f>
        <v>-13.932640000000001</v>
      </c>
      <c r="I29" s="46">
        <f>-CapexPct_ML*I24</f>
        <v>-14.768598400000004</v>
      </c>
      <c r="J29" s="46">
        <f>-CapexPct_ML*J24</f>
        <v>-15.654714304000004</v>
      </c>
      <c r="K29" s="46">
        <f>-CapexPct_ML*K24</f>
        <v>-16.593997162240008</v>
      </c>
    </row>
    <row r="30" spans="2:11" x14ac:dyDescent="0.45">
      <c r="B30" s="25" t="s">
        <v>163</v>
      </c>
      <c r="C30" s="26" t="s">
        <v>102</v>
      </c>
      <c r="D30" s="28"/>
      <c r="E30" s="28"/>
      <c r="F30" s="46"/>
      <c r="G30" s="46">
        <f>-NWCPct*(G24-F24)</f>
        <v>-1.8600000000000023</v>
      </c>
      <c r="H30" s="46">
        <f>-NWCPct*(H24-G24)</f>
        <v>-1.9716000000000009</v>
      </c>
      <c r="I30" s="46">
        <f>-NWCPct*(I24-H24)</f>
        <v>-2.0898960000000044</v>
      </c>
      <c r="J30" s="46">
        <f>-NWCPct*(J24-I24)</f>
        <v>-2.2152897600000019</v>
      </c>
      <c r="K30" s="46">
        <f>-NWCPct*(K24-J24)</f>
        <v>-2.3482071456000084</v>
      </c>
    </row>
    <row r="31" spans="2:11" x14ac:dyDescent="0.45">
      <c r="B31" s="49" t="s">
        <v>164</v>
      </c>
      <c r="C31" s="50" t="s">
        <v>102</v>
      </c>
      <c r="D31" s="51"/>
      <c r="E31" s="51"/>
      <c r="F31" s="52"/>
      <c r="G31" s="52">
        <f>G28+G27+G29+G30</f>
        <v>31.821499999999997</v>
      </c>
      <c r="H31" s="52">
        <f>H28+H27+H29+H30</f>
        <v>36.343160000000005</v>
      </c>
      <c r="I31" s="52">
        <f>I28+I27+I29+I30</f>
        <v>41.292861800000011</v>
      </c>
      <c r="J31" s="52">
        <f>J28+J27+J29+J30</f>
        <v>43.770433508000004</v>
      </c>
      <c r="K31" s="52">
        <f>K28+K27+K29+K30</f>
        <v>46.396659518480021</v>
      </c>
    </row>
    <row r="32" spans="2:11" x14ac:dyDescent="0.45">
      <c r="B32" s="25" t="s">
        <v>165</v>
      </c>
      <c r="C32" s="26"/>
      <c r="D32" s="28"/>
      <c r="E32" s="28"/>
      <c r="F32" s="53"/>
      <c r="G32" s="53">
        <f>1/(1+WACC_ML)^G$6</f>
        <v>0.92165898617511521</v>
      </c>
      <c r="H32" s="53">
        <f>1/(1+WACC_ML)^H$6</f>
        <v>0.84945528679734128</v>
      </c>
      <c r="I32" s="53">
        <f>1/(1+WACC_ML)^I$6</f>
        <v>0.78290809843072917</v>
      </c>
      <c r="J32" s="53">
        <f>1/(1+WACC_ML)^J$6</f>
        <v>0.72157428426795334</v>
      </c>
      <c r="K32" s="53">
        <f>1/(1+WACC_ML)^K$6</f>
        <v>0.66504542328843619</v>
      </c>
    </row>
    <row r="33" spans="2:11" x14ac:dyDescent="0.45">
      <c r="B33" s="25" t="s">
        <v>166</v>
      </c>
      <c r="C33" s="26" t="s">
        <v>102</v>
      </c>
      <c r="D33" s="48">
        <f>SUM(F33:K33)</f>
        <v>154.96848203936415</v>
      </c>
      <c r="E33" s="28"/>
      <c r="F33" s="46"/>
      <c r="G33" s="46">
        <f>G31*G32</f>
        <v>29.328571428571426</v>
      </c>
      <c r="H33" s="46">
        <f>H31*H32</f>
        <v>30.871889400921667</v>
      </c>
      <c r="I33" s="46">
        <f>I31*I32</f>
        <v>32.328515910600906</v>
      </c>
      <c r="J33" s="46">
        <f>J31*J32</f>
        <v>31.583619230633143</v>
      </c>
      <c r="K33" s="46">
        <f>K31*K32</f>
        <v>30.855886068636998</v>
      </c>
    </row>
    <row r="34" spans="2:11" ht="8" customHeight="1" x14ac:dyDescent="0.45"/>
    <row r="35" spans="2:11" ht="22.05" customHeight="1" x14ac:dyDescent="0.5">
      <c r="B35" s="7" t="s">
        <v>169</v>
      </c>
      <c r="C35" s="8"/>
      <c r="D35" s="8"/>
      <c r="E35" s="8"/>
      <c r="F35" s="8"/>
      <c r="G35" s="8"/>
      <c r="H35" s="8"/>
      <c r="I35" s="8"/>
      <c r="J35" s="8"/>
      <c r="K35" s="8"/>
    </row>
    <row r="36" spans="2:11" ht="18" customHeight="1" x14ac:dyDescent="0.45">
      <c r="B36" s="13" t="s">
        <v>170</v>
      </c>
    </row>
    <row r="37" spans="2:11" ht="18" customHeight="1" x14ac:dyDescent="0.45">
      <c r="B37" s="54" t="s">
        <v>171</v>
      </c>
      <c r="C37" s="54" t="s">
        <v>97</v>
      </c>
      <c r="D37" s="55" t="s">
        <v>172</v>
      </c>
      <c r="E37" s="5"/>
      <c r="F37" s="54" t="s">
        <v>173</v>
      </c>
      <c r="G37" s="5"/>
      <c r="H37" s="5"/>
      <c r="I37" s="5"/>
      <c r="J37" s="5"/>
      <c r="K37" s="5"/>
    </row>
    <row r="38" spans="2:11" x14ac:dyDescent="0.45">
      <c r="B38" s="25" t="s">
        <v>174</v>
      </c>
      <c r="C38" s="26"/>
      <c r="D38" s="56">
        <f ca="1">WACC-TermGrowth</f>
        <v>6.3892219437995904E-2</v>
      </c>
      <c r="E38" s="28"/>
      <c r="F38" s="26" t="s">
        <v>175</v>
      </c>
      <c r="G38" s="28"/>
      <c r="H38" s="28"/>
      <c r="I38" s="28"/>
      <c r="J38" s="28"/>
      <c r="K38" s="28"/>
    </row>
    <row r="39" spans="2:11" x14ac:dyDescent="0.45">
      <c r="B39" s="25" t="s">
        <v>176</v>
      </c>
      <c r="C39" s="26" t="s">
        <v>102</v>
      </c>
      <c r="D39" s="46">
        <f ca="1">K18*(1+TermGrowth)/Spread</f>
        <v>662.69605200536603</v>
      </c>
      <c r="E39" s="28"/>
      <c r="F39" s="26" t="s">
        <v>177</v>
      </c>
      <c r="G39" s="28"/>
      <c r="H39" s="28"/>
      <c r="I39" s="28"/>
      <c r="J39" s="28"/>
      <c r="K39" s="28"/>
    </row>
    <row r="40" spans="2:11" x14ac:dyDescent="0.45">
      <c r="B40" s="25" t="s">
        <v>178</v>
      </c>
      <c r="C40" s="26" t="s">
        <v>102</v>
      </c>
      <c r="D40" s="46">
        <f ca="1">K13*ExitMult</f>
        <v>712.20606769220683</v>
      </c>
      <c r="E40" s="28"/>
      <c r="F40" s="26" t="s">
        <v>179</v>
      </c>
      <c r="G40" s="28"/>
      <c r="H40" s="28"/>
      <c r="I40" s="28"/>
      <c r="J40" s="28"/>
      <c r="K40" s="28"/>
    </row>
    <row r="41" spans="2:11" x14ac:dyDescent="0.45">
      <c r="B41" s="25" t="s">
        <v>180</v>
      </c>
      <c r="C41" s="26" t="s">
        <v>102</v>
      </c>
      <c r="D41" s="46">
        <f>K31*(1+TermGrowth_ML)/(WACC_ML-TermGrowth_ML)</f>
        <v>728.07065705922491</v>
      </c>
      <c r="E41" s="28"/>
      <c r="F41" s="26" t="s">
        <v>181</v>
      </c>
      <c r="G41" s="28"/>
      <c r="H41" s="28"/>
      <c r="I41" s="28"/>
      <c r="J41" s="28"/>
      <c r="K41" s="28"/>
    </row>
    <row r="42" spans="2:11" ht="8" customHeight="1" x14ac:dyDescent="0.45"/>
    <row r="43" spans="2:11" ht="22.05" customHeight="1" x14ac:dyDescent="0.5">
      <c r="B43" s="7" t="s">
        <v>182</v>
      </c>
      <c r="C43" s="8"/>
      <c r="D43" s="8"/>
      <c r="E43" s="8"/>
      <c r="F43" s="8"/>
      <c r="G43" s="8"/>
      <c r="H43" s="8"/>
      <c r="I43" s="8"/>
      <c r="J43" s="8"/>
      <c r="K43" s="8"/>
    </row>
    <row r="44" spans="2:11" ht="18" customHeight="1" x14ac:dyDescent="0.45">
      <c r="B44" s="13" t="s">
        <v>183</v>
      </c>
    </row>
    <row r="45" spans="2:11" ht="18" customHeight="1" x14ac:dyDescent="0.45">
      <c r="B45" s="54" t="s">
        <v>171</v>
      </c>
      <c r="C45" s="54" t="s">
        <v>97</v>
      </c>
      <c r="D45" s="55" t="s">
        <v>172</v>
      </c>
      <c r="E45" s="5"/>
      <c r="F45" s="54" t="s">
        <v>173</v>
      </c>
      <c r="G45" s="5"/>
      <c r="H45" s="5"/>
      <c r="I45" s="5"/>
      <c r="J45" s="5"/>
      <c r="K45" s="5"/>
    </row>
    <row r="46" spans="2:11" x14ac:dyDescent="0.45">
      <c r="B46" s="25" t="s">
        <v>184</v>
      </c>
      <c r="C46" s="26" t="s">
        <v>102</v>
      </c>
      <c r="D46" s="46">
        <f ca="1">D20</f>
        <v>139.80242971820053</v>
      </c>
      <c r="E46" s="28"/>
      <c r="F46" s="26" t="s">
        <v>185</v>
      </c>
      <c r="G46" s="28"/>
      <c r="H46" s="28"/>
      <c r="I46" s="28"/>
      <c r="J46" s="28"/>
      <c r="K46" s="28"/>
    </row>
    <row r="47" spans="2:11" x14ac:dyDescent="0.45">
      <c r="B47" s="25" t="s">
        <v>186</v>
      </c>
      <c r="C47" s="26" t="s">
        <v>102</v>
      </c>
      <c r="D47" s="46">
        <f ca="1">TV_G*K19</f>
        <v>438.27052123164987</v>
      </c>
      <c r="E47" s="28"/>
      <c r="F47" s="26" t="s">
        <v>187</v>
      </c>
      <c r="G47" s="28"/>
      <c r="H47" s="28"/>
      <c r="I47" s="28"/>
      <c r="J47" s="28"/>
      <c r="K47" s="28"/>
    </row>
    <row r="48" spans="2:11" x14ac:dyDescent="0.45">
      <c r="B48" s="25" t="s">
        <v>188</v>
      </c>
      <c r="C48" s="26" t="s">
        <v>102</v>
      </c>
      <c r="D48" s="46">
        <f ca="1">TV_M*K19</f>
        <v>471.0137076677193</v>
      </c>
      <c r="E48" s="28"/>
      <c r="F48" s="26" t="s">
        <v>189</v>
      </c>
      <c r="G48" s="28"/>
      <c r="H48" s="28"/>
      <c r="I48" s="28"/>
      <c r="J48" s="28"/>
      <c r="K48" s="28"/>
    </row>
    <row r="49" spans="2:11" ht="8" customHeight="1" x14ac:dyDescent="0.45"/>
    <row r="50" spans="2:11" ht="22.05" customHeight="1" x14ac:dyDescent="0.5">
      <c r="B50" s="7" t="s">
        <v>190</v>
      </c>
      <c r="C50" s="8"/>
      <c r="D50" s="8"/>
      <c r="E50" s="8"/>
      <c r="F50" s="8"/>
      <c r="G50" s="8"/>
      <c r="H50" s="8"/>
      <c r="I50" s="8"/>
      <c r="J50" s="8"/>
      <c r="K50" s="8"/>
    </row>
    <row r="51" spans="2:11" ht="18" customHeight="1" x14ac:dyDescent="0.45">
      <c r="B51" s="13" t="s">
        <v>191</v>
      </c>
    </row>
    <row r="52" spans="2:11" ht="18" customHeight="1" x14ac:dyDescent="0.45">
      <c r="B52" s="54" t="s">
        <v>192</v>
      </c>
      <c r="C52" s="54" t="s">
        <v>97</v>
      </c>
      <c r="D52" s="55" t="s">
        <v>172</v>
      </c>
      <c r="E52" s="5"/>
      <c r="F52" s="54" t="s">
        <v>193</v>
      </c>
      <c r="G52" s="5"/>
      <c r="H52" s="5"/>
      <c r="I52" s="5"/>
      <c r="J52" s="5"/>
      <c r="K52" s="5"/>
    </row>
    <row r="53" spans="2:11" x14ac:dyDescent="0.45">
      <c r="B53" s="25" t="s">
        <v>194</v>
      </c>
      <c r="C53" s="26" t="s">
        <v>102</v>
      </c>
      <c r="D53" s="57" cm="1">
        <f t="array" aca="1" ref="D53" ca="1">_xll.VoseOutput("Enterprise value","US$m")+PV_Years+PV_TV</f>
        <v>578.07295094985034</v>
      </c>
      <c r="E53" s="28"/>
      <c r="F53" s="26" t="s">
        <v>195</v>
      </c>
      <c r="G53" s="28"/>
      <c r="H53" s="28"/>
      <c r="I53" s="28"/>
      <c r="J53" s="28"/>
      <c r="K53" s="28"/>
    </row>
    <row r="54" spans="2:11" x14ac:dyDescent="0.45">
      <c r="B54" s="25" t="s">
        <v>196</v>
      </c>
      <c r="C54" s="26" t="s">
        <v>102</v>
      </c>
      <c r="D54" s="57" cm="1">
        <f t="array" aca="1" ref="D54" ca="1">_xll.VoseOutput("Enterprise value by exit multiple","US$m")+PV_Years+PV_TVM</f>
        <v>610.81613738591977</v>
      </c>
      <c r="E54" s="28"/>
      <c r="F54" s="26"/>
      <c r="G54" s="28"/>
      <c r="H54" s="28"/>
      <c r="I54" s="28"/>
      <c r="J54" s="28"/>
      <c r="K54" s="28"/>
    </row>
    <row r="55" spans="2:11" x14ac:dyDescent="0.45">
      <c r="B55" s="25" t="s">
        <v>197</v>
      </c>
      <c r="C55" s="26"/>
      <c r="D55" s="58" cm="1">
        <f t="array" aca="1" ref="D55" ca="1">_xll.VoseOutput("Terminal value share","")+PV_TV/EV</f>
        <v>0.7581578077844906</v>
      </c>
      <c r="E55" s="28"/>
      <c r="F55" s="26"/>
      <c r="G55" s="28"/>
      <c r="H55" s="28"/>
      <c r="I55" s="28"/>
      <c r="J55" s="28"/>
      <c r="K55" s="28"/>
    </row>
    <row r="56" spans="2:11" x14ac:dyDescent="0.45">
      <c r="B56" s="25" t="s">
        <v>198</v>
      </c>
      <c r="C56" s="26" t="s">
        <v>150</v>
      </c>
      <c r="D56" s="59" cm="1">
        <f t="array" aca="1" ref="D56" ca="1">_xll.VoseOutput("Implied exit multiple","× EBITDA")+TV_G/K13</f>
        <v>8.2697728444270471</v>
      </c>
      <c r="E56" s="28"/>
      <c r="F56" s="26" t="s">
        <v>199</v>
      </c>
      <c r="G56" s="28"/>
      <c r="H56" s="28"/>
      <c r="I56" s="28"/>
      <c r="J56" s="28"/>
      <c r="K56" s="28"/>
    </row>
    <row r="57" spans="2:11" x14ac:dyDescent="0.45">
      <c r="B57" s="25" t="s">
        <v>200</v>
      </c>
      <c r="C57" s="26" t="s">
        <v>201</v>
      </c>
      <c r="D57" s="60" cm="1">
        <f t="array" aca="1" ref="D57" ca="1">_xll.VoseOutput("Value below the price","1 = yes")+IF(EV&lt;Price,1,0)</f>
        <v>1</v>
      </c>
      <c r="E57" s="28"/>
      <c r="F57" s="26"/>
      <c r="G57" s="28"/>
      <c r="H57" s="28"/>
      <c r="I57" s="28"/>
      <c r="J57" s="28"/>
      <c r="K57" s="28"/>
    </row>
    <row r="58" spans="2:11" x14ac:dyDescent="0.45">
      <c r="B58" s="25" t="s">
        <v>202</v>
      </c>
      <c r="C58" s="26" t="s">
        <v>102</v>
      </c>
      <c r="D58" s="46">
        <f>D33+TV_ML*K32</f>
        <v>639.1685403472062</v>
      </c>
      <c r="E58" s="28"/>
      <c r="F58" s="26" t="s">
        <v>203</v>
      </c>
      <c r="G58" s="28"/>
      <c r="H58" s="28"/>
      <c r="I58" s="28"/>
      <c r="J58" s="28"/>
      <c r="K58" s="28"/>
    </row>
    <row r="59" spans="2:11" ht="8" customHeight="1" x14ac:dyDescent="0.45"/>
    <row r="60" spans="2:11" ht="22.05" customHeight="1" x14ac:dyDescent="0.5">
      <c r="B60" s="7" t="s">
        <v>204</v>
      </c>
      <c r="C60" s="8"/>
      <c r="D60" s="8"/>
      <c r="E60" s="8"/>
      <c r="F60" s="8"/>
      <c r="G60" s="8"/>
      <c r="H60" s="8"/>
      <c r="I60" s="8"/>
      <c r="J60" s="8"/>
      <c r="K60" s="8"/>
    </row>
    <row r="61" spans="2:11" ht="18" customHeight="1" x14ac:dyDescent="0.45">
      <c r="B61" s="13" t="s">
        <v>205</v>
      </c>
    </row>
    <row r="62" spans="2:11" x14ac:dyDescent="0.45">
      <c r="B62" s="25" t="s">
        <v>206</v>
      </c>
      <c r="C62" s="28"/>
      <c r="D62" s="61" t="str">
        <f>IF(COUNTIF(InputMeans,"✗*")=0,"OK","CHECK")</f>
        <v>OK</v>
      </c>
      <c r="E62" s="28"/>
      <c r="F62" s="28"/>
      <c r="G62" s="28"/>
      <c r="H62" s="28"/>
      <c r="I62" s="28"/>
      <c r="J62" s="28"/>
      <c r="K62" s="28"/>
    </row>
    <row r="63" spans="2:11" x14ac:dyDescent="0.45">
      <c r="B63" s="25" t="s">
        <v>207</v>
      </c>
      <c r="C63" s="28"/>
      <c r="D63" s="61" t="str">
        <f>IF(WACC_Lo&gt;TermGrowth_Hi,"OK","CHECK")</f>
        <v>OK</v>
      </c>
      <c r="E63" s="28"/>
      <c r="F63" s="28"/>
      <c r="G63" s="28"/>
      <c r="H63" s="28"/>
      <c r="I63" s="28"/>
      <c r="J63" s="28"/>
      <c r="K63" s="28"/>
    </row>
    <row r="64" spans="2:11" ht="14" customHeight="1" x14ac:dyDescent="0.45"/>
  </sheetData>
  <conditionalFormatting sqref="D62:D63">
    <cfRule type="expression" dxfId="5" priority="1">
      <formula>D62="CHECK"</formula>
    </cfRule>
  </conditionalFormatting>
  <hyperlinks>
    <hyperlink ref="B4" location="'Inputs'!A1" display="◂  Inputs" xr:uid="{00000000-0004-0000-0200-000000000000}"/>
    <hyperlink ref="K4" location="'Results'!A1" display="Next:  Results  ▸" xr:uid="{00000000-0004-0000-0200-000001000000}"/>
  </hyperlinks>
  <printOptions horizontalCentered="1"/>
  <pageMargins left="0.4" right="0.4" top="0.5" bottom="0.6" header="0.25" footer="0.25"/>
  <pageSetup paperSize="9" scale="69" fitToHeight="0" orientation="landscape" r:id="rId1"/>
  <headerFooter>
    <oddFooter>&amp;L&amp;K3F5876&amp;8&amp;F · &amp;A&amp;R&amp;K3F5876&amp;8Page &amp;P of &amp;N</oddFooter>
  </headerFooter>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5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208</v>
      </c>
      <c r="C3" s="1"/>
      <c r="D3" s="1"/>
      <c r="E3" s="1"/>
      <c r="F3" s="1"/>
      <c r="G3" s="1"/>
      <c r="H3" s="1"/>
      <c r="I3" s="1"/>
      <c r="J3" s="1"/>
      <c r="K3" s="1"/>
      <c r="L3" s="1"/>
      <c r="M3" s="1"/>
      <c r="N3" s="1"/>
      <c r="O3" s="1"/>
      <c r="P3" s="1"/>
      <c r="Q3" s="1"/>
      <c r="R3" s="1"/>
    </row>
    <row r="4" spans="1:18" ht="20" customHeight="1" x14ac:dyDescent="0.45">
      <c r="A4" s="5"/>
      <c r="B4" s="22" t="s">
        <v>209</v>
      </c>
      <c r="C4" s="5"/>
      <c r="D4" s="5"/>
      <c r="E4" s="5"/>
      <c r="F4" s="5"/>
      <c r="G4" s="5"/>
      <c r="H4" s="5"/>
      <c r="I4" s="5"/>
      <c r="J4" s="5"/>
      <c r="K4" s="5"/>
      <c r="L4" s="5"/>
      <c r="M4" s="5"/>
      <c r="N4" s="5"/>
      <c r="O4" s="5"/>
      <c r="P4" s="5"/>
      <c r="Q4" s="5"/>
      <c r="R4" s="5"/>
    </row>
    <row r="5" spans="1:18" ht="8" customHeight="1" x14ac:dyDescent="0.45"/>
    <row r="6" spans="1:18" ht="26" customHeight="1" x14ac:dyDescent="0.45">
      <c r="B6" s="62" t="str" cm="1">
        <f t="array" aca="1" ref="B6" ca="1">IF(ISNUMBER(_xll.VoseSimMean(EV)),"✔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3"/>
      <c r="D6" s="63"/>
      <c r="E6" s="63"/>
      <c r="F6" s="63"/>
      <c r="G6" s="63"/>
    </row>
    <row r="7" spans="1:18" x14ac:dyDescent="0.45">
      <c r="B7" s="6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210</v>
      </c>
      <c r="C9" s="8"/>
      <c r="D9" s="8"/>
      <c r="E9" s="8"/>
      <c r="F9" s="8"/>
      <c r="G9" s="8"/>
      <c r="I9" s="65" t="s">
        <v>211</v>
      </c>
      <c r="J9" s="8"/>
      <c r="K9" s="8"/>
      <c r="L9" s="8"/>
      <c r="M9" s="8"/>
      <c r="N9" s="8"/>
      <c r="O9" s="8"/>
      <c r="P9" s="8"/>
      <c r="Q9" s="8"/>
      <c r="R9" s="8"/>
    </row>
    <row r="10" spans="1:18" ht="18" customHeight="1" x14ac:dyDescent="0.45">
      <c r="B10" s="13" t="s">
        <v>212</v>
      </c>
    </row>
    <row r="11" spans="1:18" ht="18" customHeight="1" x14ac:dyDescent="0.45">
      <c r="B11" s="23" t="s">
        <v>213</v>
      </c>
      <c r="C11" s="23" t="s">
        <v>97</v>
      </c>
      <c r="D11" s="24" t="s">
        <v>172</v>
      </c>
      <c r="E11" s="5"/>
      <c r="F11" s="5"/>
      <c r="G11" s="5"/>
    </row>
    <row r="12" spans="1:18" x14ac:dyDescent="0.45">
      <c r="B12" s="66" t="s">
        <v>214</v>
      </c>
      <c r="C12" s="26" t="s">
        <v>102</v>
      </c>
      <c r="D12" s="67">
        <f>Price</f>
        <v>600</v>
      </c>
      <c r="E12" s="28"/>
      <c r="F12" s="28"/>
      <c r="G12" s="28"/>
    </row>
    <row r="13" spans="1:18" x14ac:dyDescent="0.45">
      <c r="B13" s="66" t="s">
        <v>215</v>
      </c>
      <c r="C13" s="26" t="s">
        <v>102</v>
      </c>
      <c r="D13" s="67">
        <f>EV_ML</f>
        <v>639.1685403472062</v>
      </c>
      <c r="E13" s="28"/>
      <c r="F13" s="28"/>
      <c r="G13" s="28"/>
    </row>
    <row r="14" spans="1:18" ht="22.05" customHeight="1" x14ac:dyDescent="0.45">
      <c r="B14" s="47" t="s">
        <v>216</v>
      </c>
      <c r="C14" s="26" t="s">
        <v>102</v>
      </c>
      <c r="D14" s="68" cm="1">
        <f t="array" aca="1" ref="D14" ca="1">_xll.VoseSimMean(EV)</f>
        <v>616.2123124366567</v>
      </c>
      <c r="E14" s="28"/>
      <c r="F14" s="28"/>
      <c r="G14" s="28"/>
    </row>
    <row r="15" spans="1:18" x14ac:dyDescent="0.45">
      <c r="B15" s="47" t="s">
        <v>217</v>
      </c>
      <c r="C15" s="26" t="s">
        <v>108</v>
      </c>
      <c r="D15" s="69" cm="1">
        <f t="array" aca="1" ref="D15" ca="1">_xll.VoseSimMean(BelowPrice)</f>
        <v>0.44440000000000002</v>
      </c>
      <c r="E15" s="28"/>
      <c r="F15" s="28"/>
      <c r="G15" s="28"/>
    </row>
    <row r="16" spans="1:18" x14ac:dyDescent="0.45">
      <c r="B16" s="25" t="s">
        <v>218</v>
      </c>
      <c r="C16" s="26" t="s">
        <v>108</v>
      </c>
      <c r="D16" s="69" cm="1">
        <f t="array" aca="1" ref="D16" ca="1">_xll.VoseSimProbability(EV,EV_ML)</f>
        <v>0.61673832616738322</v>
      </c>
      <c r="E16" s="28"/>
      <c r="F16" s="28"/>
      <c r="G16" s="28"/>
    </row>
    <row r="17" spans="2:18" x14ac:dyDescent="0.45">
      <c r="B17" s="25" t="s">
        <v>219</v>
      </c>
      <c r="C17" s="26" t="s">
        <v>102</v>
      </c>
      <c r="D17" s="70" cm="1">
        <f t="array" aca="1" ref="D17" ca="1">_xll.VoseSimMean(EV_Mult)</f>
        <v>635.29651740504994</v>
      </c>
      <c r="E17" s="28"/>
      <c r="F17" s="28"/>
      <c r="G17" s="28"/>
    </row>
    <row r="18" spans="2:18" x14ac:dyDescent="0.45">
      <c r="B18" s="47" t="str">
        <f>"Walk-away price: worth at least this "&amp;TEXT(Confidence,"0%")&amp;" of the time"</f>
        <v>Walk-away price: worth at least this 80% of the time</v>
      </c>
      <c r="C18" s="26" t="s">
        <v>102</v>
      </c>
      <c r="D18" s="70" cm="1">
        <f t="array" aca="1" ref="D18" ca="1">_xll.VoseSimPercentile(EV,1-Confidence)</f>
        <v>539.03167307761487</v>
      </c>
      <c r="E18" s="28"/>
      <c r="F18" s="28"/>
      <c r="G18" s="28"/>
    </row>
    <row r="19" spans="2:18" ht="8" customHeight="1" x14ac:dyDescent="0.45"/>
    <row r="20" spans="2:18" ht="22.05" customHeight="1" x14ac:dyDescent="0.5">
      <c r="B20" s="7" t="s">
        <v>220</v>
      </c>
      <c r="C20" s="8"/>
      <c r="D20" s="8"/>
      <c r="E20" s="8"/>
      <c r="F20" s="8"/>
      <c r="G20" s="8"/>
    </row>
    <row r="21" spans="2:18" ht="18" customHeight="1" x14ac:dyDescent="0.45">
      <c r="B21" s="13" t="s">
        <v>221</v>
      </c>
    </row>
    <row r="22" spans="2:18" ht="18" customHeight="1" x14ac:dyDescent="0.45">
      <c r="B22" s="23" t="s">
        <v>213</v>
      </c>
      <c r="C22" s="23" t="s">
        <v>97</v>
      </c>
      <c r="D22" s="24" t="s">
        <v>222</v>
      </c>
      <c r="E22" s="24" t="s">
        <v>223</v>
      </c>
      <c r="F22" s="24" t="s">
        <v>224</v>
      </c>
      <c r="G22" s="24" t="s">
        <v>115</v>
      </c>
    </row>
    <row r="23" spans="2:18" x14ac:dyDescent="0.45">
      <c r="B23" s="25" t="s">
        <v>194</v>
      </c>
      <c r="C23" s="26" t="s">
        <v>102</v>
      </c>
      <c r="D23" s="70" cm="1">
        <f t="array" aca="1" ref="D23" ca="1">_xll.VoseSimPercentile(EV,0.1)</f>
        <v>504.45657203555641</v>
      </c>
      <c r="E23" s="70" cm="1">
        <f t="array" aca="1" ref="E23" ca="1">_xll.VoseSimPercentile(EV,0.5)</f>
        <v>611.76888741353014</v>
      </c>
      <c r="F23" s="70" cm="1">
        <f t="array" aca="1" ref="F23" ca="1">_xll.VoseSimPercentile(EV,0.9)</f>
        <v>731.91587135529494</v>
      </c>
      <c r="G23" s="70" cm="1">
        <f t="array" aca="1" ref="G23" ca="1">_xll.VoseSimMean(EV)</f>
        <v>616.2123124366567</v>
      </c>
    </row>
    <row r="24" spans="2:18" x14ac:dyDescent="0.45">
      <c r="B24" s="25" t="s">
        <v>196</v>
      </c>
      <c r="C24" s="26" t="s">
        <v>102</v>
      </c>
      <c r="D24" s="70" cm="1">
        <f t="array" aca="1" ref="D24" ca="1">_xll.VoseSimPercentile(EV_Mult,0.1)</f>
        <v>538.40408599059094</v>
      </c>
      <c r="E24" s="70" cm="1">
        <f t="array" aca="1" ref="E24" ca="1">_xll.VoseSimPercentile(EV_Mult,0.5)</f>
        <v>633.07860966293265</v>
      </c>
      <c r="F24" s="70" cm="1">
        <f t="array" aca="1" ref="F24" ca="1">_xll.VoseSimPercentile(EV_Mult,0.9)</f>
        <v>736.41623614379739</v>
      </c>
      <c r="G24" s="70" cm="1">
        <f t="array" aca="1" ref="G24" ca="1">_xll.VoseSimMean(EV_Mult)</f>
        <v>635.29651740504994</v>
      </c>
    </row>
    <row r="25" spans="2:18" x14ac:dyDescent="0.45">
      <c r="B25" s="25" t="s">
        <v>197</v>
      </c>
      <c r="C25" s="26"/>
      <c r="D25" s="71" cm="1">
        <f t="array" aca="1" ref="D25" ca="1">_xll.VoseSimPercentile(TVShare,0.1)</f>
        <v>0.72815441825832072</v>
      </c>
      <c r="E25" s="71" cm="1">
        <f t="array" aca="1" ref="E25" ca="1">_xll.VoseSimPercentile(TVShare,0.5)</f>
        <v>0.7538487132020868</v>
      </c>
      <c r="F25" s="71" cm="1">
        <f t="array" aca="1" ref="F25" ca="1">_xll.VoseSimPercentile(TVShare,0.9)</f>
        <v>0.77895280980210169</v>
      </c>
      <c r="G25" s="71" cm="1">
        <f t="array" aca="1" ref="G25" ca="1">_xll.VoseSimMean(TVShare)</f>
        <v>0.75377340046990038</v>
      </c>
    </row>
    <row r="26" spans="2:18" x14ac:dyDescent="0.45">
      <c r="B26" s="25" t="s">
        <v>198</v>
      </c>
      <c r="C26" s="26" t="s">
        <v>150</v>
      </c>
      <c r="D26" s="72" cm="1">
        <f t="array" aca="1" ref="D26" ca="1">_xll.VoseSimPercentile(ImpliedMult,0.1)</f>
        <v>7.5011568878823285</v>
      </c>
      <c r="E26" s="72" cm="1">
        <f t="array" aca="1" ref="E26" ca="1">_xll.VoseSimPercentile(ImpliedMult,0.5)</f>
        <v>8.5667156443603236</v>
      </c>
      <c r="F26" s="72" cm="1">
        <f t="array" aca="1" ref="F26" ca="1">_xll.VoseSimPercentile(ImpliedMult,0.9)</f>
        <v>9.846891800955083</v>
      </c>
      <c r="G26" s="72" cm="1">
        <f t="array" aca="1" ref="G26" ca="1">_xll.VoseSimMean(ImpliedMult)</f>
        <v>8.6316992131258665</v>
      </c>
    </row>
    <row r="27" spans="2:18" ht="8" customHeight="1" x14ac:dyDescent="0.45"/>
    <row r="28" spans="2:18" x14ac:dyDescent="0.45">
      <c r="I28" s="65" t="s">
        <v>225</v>
      </c>
      <c r="J28" s="8"/>
      <c r="K28" s="8"/>
      <c r="L28" s="8"/>
      <c r="M28" s="8"/>
      <c r="N28" s="8"/>
      <c r="O28" s="8"/>
      <c r="P28" s="8"/>
      <c r="Q28" s="8"/>
      <c r="R28" s="8"/>
    </row>
    <row r="44" spans="2:18" ht="22.05" customHeight="1" x14ac:dyDescent="0.5">
      <c r="B44" s="7" t="s">
        <v>226</v>
      </c>
      <c r="C44" s="8"/>
      <c r="D44" s="8"/>
      <c r="E44" s="8"/>
      <c r="F44" s="8"/>
      <c r="G44" s="8"/>
      <c r="I44" s="65" t="s">
        <v>227</v>
      </c>
      <c r="J44" s="8"/>
      <c r="K44" s="8"/>
      <c r="L44" s="8"/>
      <c r="M44" s="8"/>
      <c r="N44" s="8"/>
      <c r="O44" s="8"/>
      <c r="P44" s="8"/>
      <c r="Q44" s="8"/>
      <c r="R44" s="8"/>
    </row>
    <row r="45" spans="2:18" ht="18" customHeight="1" x14ac:dyDescent="0.45">
      <c r="B45" s="13" t="s">
        <v>228</v>
      </c>
    </row>
    <row r="46" spans="2:18" ht="18" customHeight="1" x14ac:dyDescent="0.45">
      <c r="B46" s="23" t="s">
        <v>229</v>
      </c>
      <c r="C46" s="24" t="s">
        <v>230</v>
      </c>
      <c r="D46" s="24" t="s">
        <v>231</v>
      </c>
      <c r="E46" s="73" t="s">
        <v>232</v>
      </c>
      <c r="F46" s="5"/>
      <c r="G46" s="5"/>
    </row>
    <row r="47" spans="2:18" x14ac:dyDescent="0.45">
      <c r="B47" s="25" t="str">
        <f t="array" aca="1" ref="B47:E51" ca="1">_xll.VoseSimSensitivityMean(EV,10,1,FALSE)</f>
        <v>EBITDA margin</v>
      </c>
      <c r="C47" s="74">
        <f ca="1"/>
        <v>509.30298253122811</v>
      </c>
      <c r="D47" s="74">
        <f ca="1"/>
        <v>715.78568689847418</v>
      </c>
      <c r="E47" s="75">
        <f ca="1"/>
        <v>1</v>
      </c>
      <c r="F47" s="28"/>
      <c r="G47" s="28"/>
    </row>
    <row r="48" spans="2:18" x14ac:dyDescent="0.45">
      <c r="B48" s="25" t="str">
        <f ca="1"/>
        <v>Revenue growth</v>
      </c>
      <c r="C48" s="74">
        <f ca="1"/>
        <v>524.04891280288473</v>
      </c>
      <c r="D48" s="74">
        <f ca="1"/>
        <v>707.14642135364852</v>
      </c>
      <c r="E48" s="75">
        <f ca="1"/>
        <v>2</v>
      </c>
      <c r="F48" s="28"/>
      <c r="G48" s="28"/>
    </row>
    <row r="49" spans="2:7" x14ac:dyDescent="0.45">
      <c r="B49" s="25" t="str">
        <f ca="1"/>
        <v>Cost of capital</v>
      </c>
      <c r="C49" s="74">
        <f ca="1"/>
        <v>542.12344189400301</v>
      </c>
      <c r="D49" s="74">
        <f ca="1"/>
        <v>694.00171407952291</v>
      </c>
      <c r="E49" s="75">
        <f ca="1"/>
        <v>3</v>
      </c>
      <c r="F49" s="28"/>
      <c r="G49" s="28"/>
    </row>
    <row r="50" spans="2:7" x14ac:dyDescent="0.45">
      <c r="B50" s="25" t="str">
        <f ca="1"/>
        <v>Capex</v>
      </c>
      <c r="C50" s="74">
        <f ca="1"/>
        <v>567.74525839853163</v>
      </c>
      <c r="D50" s="74">
        <f ca="1"/>
        <v>664.40713387013147</v>
      </c>
      <c r="E50" s="75">
        <f ca="1"/>
        <v>4</v>
      </c>
      <c r="F50" s="28"/>
      <c r="G50" s="28"/>
    </row>
    <row r="51" spans="2:7" x14ac:dyDescent="0.45">
      <c r="B51" s="25" t="str">
        <f ca="1"/>
        <v>Long-term growth</v>
      </c>
      <c r="C51" s="74">
        <f ca="1"/>
        <v>570.18683982460857</v>
      </c>
      <c r="D51" s="74">
        <f ca="1"/>
        <v>666.78506412223305</v>
      </c>
      <c r="E51" s="75">
        <f ca="1"/>
        <v>5</v>
      </c>
      <c r="F51" s="28"/>
      <c r="G51" s="28"/>
    </row>
    <row r="58" spans="2:7" ht="22.05" customHeight="1" x14ac:dyDescent="0.5">
      <c r="B58" s="7" t="s">
        <v>233</v>
      </c>
      <c r="C58" s="8"/>
      <c r="D58" s="8"/>
      <c r="E58" s="8"/>
      <c r="F58" s="8"/>
      <c r="G58" s="8"/>
    </row>
    <row r="59" spans="2:7" ht="45" customHeight="1" x14ac:dyDescent="0.45">
      <c r="B59" s="85" t="s">
        <v>234</v>
      </c>
      <c r="C59" s="86"/>
      <c r="D59" s="86"/>
      <c r="E59" s="86"/>
      <c r="F59" s="86"/>
      <c r="G59" s="86"/>
    </row>
    <row r="60" spans="2:7" ht="32" customHeight="1" x14ac:dyDescent="0.45">
      <c r="B60" s="85" t="s">
        <v>235</v>
      </c>
      <c r="C60" s="86"/>
      <c r="D60" s="86"/>
      <c r="E60" s="86"/>
      <c r="F60" s="86"/>
      <c r="G60" s="86"/>
    </row>
    <row r="61" spans="2:7" ht="32" customHeight="1" x14ac:dyDescent="0.45">
      <c r="B61" s="85" t="s">
        <v>236</v>
      </c>
      <c r="C61" s="86"/>
      <c r="D61" s="86"/>
      <c r="E61" s="86"/>
      <c r="F61" s="86"/>
      <c r="G61" s="86"/>
    </row>
    <row r="62" spans="2:7" ht="32" customHeight="1" x14ac:dyDescent="0.45">
      <c r="B62" s="85" t="s">
        <v>237</v>
      </c>
      <c r="C62" s="86"/>
      <c r="D62" s="86"/>
      <c r="E62" s="86"/>
      <c r="F62" s="86"/>
      <c r="G62" s="86"/>
    </row>
    <row r="63" spans="2:7" ht="32" customHeight="1" x14ac:dyDescent="0.45">
      <c r="B63" s="85" t="s">
        <v>238</v>
      </c>
      <c r="C63" s="86"/>
      <c r="D63" s="86"/>
      <c r="E63" s="86"/>
      <c r="F63" s="86"/>
      <c r="G63" s="86"/>
    </row>
    <row r="64" spans="2:7" ht="14" customHeight="1" x14ac:dyDescent="0.45"/>
    <row r="65" spans="2:7" ht="14" customHeight="1" x14ac:dyDescent="0.45"/>
    <row r="66" spans="2:7" ht="22.05" customHeight="1" x14ac:dyDescent="0.5">
      <c r="B66" s="7" t="s">
        <v>239</v>
      </c>
      <c r="C66" s="8"/>
      <c r="D66" s="8"/>
      <c r="E66" s="8"/>
      <c r="F66" s="8"/>
      <c r="G66" s="8"/>
    </row>
    <row r="67" spans="2:7" ht="18" customHeight="1" x14ac:dyDescent="0.45">
      <c r="B67" s="13" t="s">
        <v>240</v>
      </c>
    </row>
    <row r="68" spans="2:7" ht="28.05" hidden="1" customHeight="1" outlineLevel="1" x14ac:dyDescent="0.45">
      <c r="B68" s="24" t="s">
        <v>241</v>
      </c>
      <c r="C68" s="24" t="s">
        <v>242</v>
      </c>
      <c r="D68" s="24" t="s">
        <v>243</v>
      </c>
      <c r="E68" s="24" t="s">
        <v>244</v>
      </c>
      <c r="F68" s="5"/>
      <c r="G68" s="5"/>
    </row>
    <row r="69" spans="2:7" hidden="1" outlineLevel="1" x14ac:dyDescent="0.45">
      <c r="B69" s="76">
        <v>0.01</v>
      </c>
      <c r="C69" s="76">
        <f t="shared" ref="C69:C100" si="0">1-B69</f>
        <v>0.99</v>
      </c>
      <c r="D69" s="77" cm="1">
        <f t="array" aca="1" ref="D69" ca="1">IF(ISNUMBER(_xll.VoseSimPercentile(EV,$B69)),_xll.VoseSimPercentile(EV,$B69),NA())</f>
        <v>436.2091523066025</v>
      </c>
      <c r="E69" s="77" cm="1">
        <f t="array" aca="1" ref="E69" ca="1">IF(ISNUMBER(_xll.VoseSimPercentile(EV_Mult,$B69)),_xll.VoseSimPercentile(EV_Mult,$B69),NA())</f>
        <v>475.60844860631391</v>
      </c>
    </row>
    <row r="70" spans="2:7" hidden="1" outlineLevel="1" x14ac:dyDescent="0.45">
      <c r="B70" s="76">
        <v>0.03</v>
      </c>
      <c r="C70" s="76">
        <f t="shared" si="0"/>
        <v>0.97</v>
      </c>
      <c r="D70" s="77" cm="1">
        <f t="array" aca="1" ref="D70" ca="1">IF(ISNUMBER(_xll.VoseSimPercentile(EV,$B70)),_xll.VoseSimPercentile(EV,$B70),NA())</f>
        <v>463.80318354667384</v>
      </c>
      <c r="E70" s="77" cm="1">
        <f t="array" aca="1" ref="E70" ca="1">IF(ISNUMBER(_xll.VoseSimPercentile(EV_Mult,$B70)),_xll.VoseSimPercentile(EV_Mult,$B70),NA())</f>
        <v>499.64602056637125</v>
      </c>
    </row>
    <row r="71" spans="2:7" hidden="1" outlineLevel="1" x14ac:dyDescent="0.45">
      <c r="B71" s="76">
        <v>0.05</v>
      </c>
      <c r="C71" s="76">
        <f t="shared" si="0"/>
        <v>0.95</v>
      </c>
      <c r="D71" s="77" cm="1">
        <f t="array" aca="1" ref="D71" ca="1">IF(ISNUMBER(_xll.VoseSimPercentile(EV,$B71)),_xll.VoseSimPercentile(EV,$B71),NA())</f>
        <v>479.8623915145896</v>
      </c>
      <c r="E71" s="77" cm="1">
        <f t="array" aca="1" ref="E71" ca="1">IF(ISNUMBER(_xll.VoseSimPercentile(EV_Mult,$B71)),_xll.VoseSimPercentile(EV_Mult,$B71),NA())</f>
        <v>514.1521921713047</v>
      </c>
    </row>
    <row r="72" spans="2:7" hidden="1" outlineLevel="1" x14ac:dyDescent="0.45">
      <c r="B72" s="76">
        <v>7.0000000000000007E-2</v>
      </c>
      <c r="C72" s="76">
        <f t="shared" si="0"/>
        <v>0.92999999999999994</v>
      </c>
      <c r="D72" s="77" cm="1">
        <f t="array" aca="1" ref="D72" ca="1">IF(ISNUMBER(_xll.VoseSimPercentile(EV,$B72)),_xll.VoseSimPercentile(EV,$B72),NA())</f>
        <v>492.17369736043349</v>
      </c>
      <c r="E72" s="77" cm="1">
        <f t="array" aca="1" ref="E72" ca="1">IF(ISNUMBER(_xll.VoseSimPercentile(EV_Mult,$B72)),_xll.VoseSimPercentile(EV_Mult,$B72),NA())</f>
        <v>525.85428666337737</v>
      </c>
    </row>
    <row r="73" spans="2:7" hidden="1" outlineLevel="1" x14ac:dyDescent="0.45">
      <c r="B73" s="76">
        <v>0.09</v>
      </c>
      <c r="C73" s="76">
        <f t="shared" si="0"/>
        <v>0.91</v>
      </c>
      <c r="D73" s="77" cm="1">
        <f t="array" aca="1" ref="D73" ca="1">IF(ISNUMBER(_xll.VoseSimPercentile(EV,$B73)),_xll.VoseSimPercentile(EV,$B73),NA())</f>
        <v>500.91683279762879</v>
      </c>
      <c r="E73" s="77" cm="1">
        <f t="array" aca="1" ref="E73" ca="1">IF(ISNUMBER(_xll.VoseSimPercentile(EV_Mult,$B73)),_xll.VoseSimPercentile(EV_Mult,$B73),NA())</f>
        <v>534.44640156585535</v>
      </c>
    </row>
    <row r="74" spans="2:7" hidden="1" outlineLevel="1" x14ac:dyDescent="0.45">
      <c r="B74" s="76">
        <v>0.11</v>
      </c>
      <c r="C74" s="76">
        <f t="shared" si="0"/>
        <v>0.89</v>
      </c>
      <c r="D74" s="77" cm="1">
        <f t="array" aca="1" ref="D74" ca="1">IF(ISNUMBER(_xll.VoseSimPercentile(EV,$B74)),_xll.VoseSimPercentile(EV,$B74),NA())</f>
        <v>509.0803492334623</v>
      </c>
      <c r="E74" s="77" cm="1">
        <f t="array" aca="1" ref="E74" ca="1">IF(ISNUMBER(_xll.VoseSimPercentile(EV_Mult,$B74)),_xll.VoseSimPercentile(EV_Mult,$B74),NA())</f>
        <v>541.95530381521382</v>
      </c>
    </row>
    <row r="75" spans="2:7" hidden="1" outlineLevel="1" x14ac:dyDescent="0.45">
      <c r="B75" s="76">
        <v>0.13</v>
      </c>
      <c r="C75" s="76">
        <f t="shared" si="0"/>
        <v>0.87</v>
      </c>
      <c r="D75" s="77" cm="1">
        <f t="array" aca="1" ref="D75" ca="1">IF(ISNUMBER(_xll.VoseSimPercentile(EV,$B75)),_xll.VoseSimPercentile(EV,$B75),NA())</f>
        <v>517.29732239280406</v>
      </c>
      <c r="E75" s="77" cm="1">
        <f t="array" aca="1" ref="E75" ca="1">IF(ISNUMBER(_xll.VoseSimPercentile(EV_Mult,$B75)),_xll.VoseSimPercentile(EV_Mult,$B75),NA())</f>
        <v>549.06285199949718</v>
      </c>
    </row>
    <row r="76" spans="2:7" hidden="1" outlineLevel="1" x14ac:dyDescent="0.45">
      <c r="B76" s="76">
        <v>0.15</v>
      </c>
      <c r="C76" s="76">
        <f t="shared" si="0"/>
        <v>0.85</v>
      </c>
      <c r="D76" s="77" cm="1">
        <f t="array" aca="1" ref="D76" ca="1">IF(ISNUMBER(_xll.VoseSimPercentile(EV,$B76)),_xll.VoseSimPercentile(EV,$B76),NA())</f>
        <v>523.86184139845636</v>
      </c>
      <c r="E76" s="77" cm="1">
        <f t="array" aca="1" ref="E76" ca="1">IF(ISNUMBER(_xll.VoseSimPercentile(EV_Mult,$B76)),_xll.VoseSimPercentile(EV_Mult,$B76),NA())</f>
        <v>555.78902787774234</v>
      </c>
    </row>
    <row r="77" spans="2:7" hidden="1" outlineLevel="1" x14ac:dyDescent="0.45">
      <c r="B77" s="76">
        <v>0.17</v>
      </c>
      <c r="C77" s="76">
        <f t="shared" si="0"/>
        <v>0.83</v>
      </c>
      <c r="D77" s="77" cm="1">
        <f t="array" aca="1" ref="D77" ca="1">IF(ISNUMBER(_xll.VoseSimPercentile(EV,$B77)),_xll.VoseSimPercentile(EV,$B77),NA())</f>
        <v>530.58423413099024</v>
      </c>
      <c r="E77" s="77" cm="1">
        <f t="array" aca="1" ref="E77" ca="1">IF(ISNUMBER(_xll.VoseSimPercentile(EV_Mult,$B77)),_xll.VoseSimPercentile(EV_Mult,$B77),NA())</f>
        <v>561.09351011960393</v>
      </c>
    </row>
    <row r="78" spans="2:7" hidden="1" outlineLevel="1" x14ac:dyDescent="0.45">
      <c r="B78" s="76">
        <v>0.19</v>
      </c>
      <c r="C78" s="76">
        <f t="shared" si="0"/>
        <v>0.81</v>
      </c>
      <c r="D78" s="77" cm="1">
        <f t="array" aca="1" ref="D78" ca="1">IF(ISNUMBER(_xll.VoseSimPercentile(EV,$B78)),_xll.VoseSimPercentile(EV,$B78),NA())</f>
        <v>536.53973492518276</v>
      </c>
      <c r="E78" s="77" cm="1">
        <f t="array" aca="1" ref="E78" ca="1">IF(ISNUMBER(_xll.VoseSimPercentile(EV_Mult,$B78)),_xll.VoseSimPercentile(EV_Mult,$B78),NA())</f>
        <v>566.61355681919747</v>
      </c>
    </row>
    <row r="79" spans="2:7" hidden="1" outlineLevel="1" x14ac:dyDescent="0.45">
      <c r="B79" s="76">
        <v>0.21</v>
      </c>
      <c r="C79" s="76">
        <f t="shared" si="0"/>
        <v>0.79</v>
      </c>
      <c r="D79" s="77" cm="1">
        <f t="array" aca="1" ref="D79" ca="1">IF(ISNUMBER(_xll.VoseSimPercentile(EV,$B79)),_xll.VoseSimPercentile(EV,$B79),NA())</f>
        <v>541.99129076910322</v>
      </c>
      <c r="E79" s="77" cm="1">
        <f t="array" aca="1" ref="E79" ca="1">IF(ISNUMBER(_xll.VoseSimPercentile(EV_Mult,$B79)),_xll.VoseSimPercentile(EV_Mult,$B79),NA())</f>
        <v>572.47061402966438</v>
      </c>
    </row>
    <row r="80" spans="2:7" hidden="1" outlineLevel="1" x14ac:dyDescent="0.45">
      <c r="B80" s="76">
        <v>0.23</v>
      </c>
      <c r="C80" s="76">
        <f t="shared" si="0"/>
        <v>0.77</v>
      </c>
      <c r="D80" s="77" cm="1">
        <f t="array" aca="1" ref="D80" ca="1">IF(ISNUMBER(_xll.VoseSimPercentile(EV,$B80)),_xll.VoseSimPercentile(EV,$B80),NA())</f>
        <v>547.92954218310751</v>
      </c>
      <c r="E80" s="77" cm="1">
        <f t="array" aca="1" ref="E80" ca="1">IF(ISNUMBER(_xll.VoseSimPercentile(EV_Mult,$B80)),_xll.VoseSimPercentile(EV_Mult,$B80),NA())</f>
        <v>577.43534829536372</v>
      </c>
    </row>
    <row r="81" spans="2:5" hidden="1" outlineLevel="1" x14ac:dyDescent="0.45">
      <c r="B81" s="76">
        <v>0.25</v>
      </c>
      <c r="C81" s="76">
        <f t="shared" si="0"/>
        <v>0.75</v>
      </c>
      <c r="D81" s="77" cm="1">
        <f t="array" aca="1" ref="D81" ca="1">IF(ISNUMBER(_xll.VoseSimPercentile(EV,$B81)),_xll.VoseSimPercentile(EV,$B81),NA())</f>
        <v>553.60887440246859</v>
      </c>
      <c r="E81" s="77" cm="1">
        <f t="array" aca="1" ref="E81" ca="1">IF(ISNUMBER(_xll.VoseSimPercentile(EV_Mult,$B81)),_xll.VoseSimPercentile(EV_Mult,$B81),NA())</f>
        <v>581.88146978290933</v>
      </c>
    </row>
    <row r="82" spans="2:5" hidden="1" outlineLevel="1" x14ac:dyDescent="0.45">
      <c r="B82" s="76">
        <v>0.27</v>
      </c>
      <c r="C82" s="76">
        <f t="shared" si="0"/>
        <v>0.73</v>
      </c>
      <c r="D82" s="77" cm="1">
        <f t="array" aca="1" ref="D82" ca="1">IF(ISNUMBER(_xll.VoseSimPercentile(EV,$B82)),_xll.VoseSimPercentile(EV,$B82),NA())</f>
        <v>558.66099456978009</v>
      </c>
      <c r="E82" s="77" cm="1">
        <f t="array" aca="1" ref="E82" ca="1">IF(ISNUMBER(_xll.VoseSimPercentile(EV_Mult,$B82)),_xll.VoseSimPercentile(EV_Mult,$B82),NA())</f>
        <v>586.06471606902801</v>
      </c>
    </row>
    <row r="83" spans="2:5" hidden="1" outlineLevel="1" x14ac:dyDescent="0.45">
      <c r="B83" s="76">
        <v>0.28999999999999998</v>
      </c>
      <c r="C83" s="76">
        <f t="shared" si="0"/>
        <v>0.71</v>
      </c>
      <c r="D83" s="77" cm="1">
        <f t="array" aca="1" ref="D83" ca="1">IF(ISNUMBER(_xll.VoseSimPercentile(EV,$B83)),_xll.VoseSimPercentile(EV,$B83),NA())</f>
        <v>564.31867697343091</v>
      </c>
      <c r="E83" s="77" cm="1">
        <f t="array" aca="1" ref="E83" ca="1">IF(ISNUMBER(_xll.VoseSimPercentile(EV_Mult,$B83)),_xll.VoseSimPercentile(EV_Mult,$B83),NA())</f>
        <v>590.29917846460194</v>
      </c>
    </row>
    <row r="84" spans="2:5" hidden="1" outlineLevel="1" x14ac:dyDescent="0.45">
      <c r="B84" s="76">
        <v>0.31</v>
      </c>
      <c r="C84" s="76">
        <f t="shared" si="0"/>
        <v>0.69</v>
      </c>
      <c r="D84" s="77" cm="1">
        <f t="array" aca="1" ref="D84" ca="1">IF(ISNUMBER(_xll.VoseSimPercentile(EV,$B84)),_xll.VoseSimPercentile(EV,$B84),NA())</f>
        <v>569.4807117161597</v>
      </c>
      <c r="E84" s="77" cm="1">
        <f t="array" aca="1" ref="E84" ca="1">IF(ISNUMBER(_xll.VoseSimPercentile(EV_Mult,$B84)),_xll.VoseSimPercentile(EV_Mult,$B84),NA())</f>
        <v>594.74094914453349</v>
      </c>
    </row>
    <row r="85" spans="2:5" hidden="1" outlineLevel="1" x14ac:dyDescent="0.45">
      <c r="B85" s="76">
        <v>0.33</v>
      </c>
      <c r="C85" s="76">
        <f t="shared" si="0"/>
        <v>0.66999999999999993</v>
      </c>
      <c r="D85" s="77" cm="1">
        <f t="array" aca="1" ref="D85" ca="1">IF(ISNUMBER(_xll.VoseSimPercentile(EV,$B85)),_xll.VoseSimPercentile(EV,$B85),NA())</f>
        <v>574.40701826736358</v>
      </c>
      <c r="E85" s="77" cm="1">
        <f t="array" aca="1" ref="E85" ca="1">IF(ISNUMBER(_xll.VoseSimPercentile(EV_Mult,$B85)),_xll.VoseSimPercentile(EV_Mult,$B85),NA())</f>
        <v>599.45099670920456</v>
      </c>
    </row>
    <row r="86" spans="2:5" hidden="1" outlineLevel="1" x14ac:dyDescent="0.45">
      <c r="B86" s="76">
        <v>0.35</v>
      </c>
      <c r="C86" s="76">
        <f t="shared" si="0"/>
        <v>0.65</v>
      </c>
      <c r="D86" s="77" cm="1">
        <f t="array" aca="1" ref="D86" ca="1">IF(ISNUMBER(_xll.VoseSimPercentile(EV,$B86)),_xll.VoseSimPercentile(EV,$B86),NA())</f>
        <v>578.86661974610138</v>
      </c>
      <c r="E86" s="77" cm="1">
        <f t="array" aca="1" ref="E86" ca="1">IF(ISNUMBER(_xll.VoseSimPercentile(EV_Mult,$B86)),_xll.VoseSimPercentile(EV_Mult,$B86),NA())</f>
        <v>603.5594945636866</v>
      </c>
    </row>
    <row r="87" spans="2:5" hidden="1" outlineLevel="1" x14ac:dyDescent="0.45">
      <c r="B87" s="76">
        <v>0.37</v>
      </c>
      <c r="C87" s="76">
        <f t="shared" si="0"/>
        <v>0.63</v>
      </c>
      <c r="D87" s="77" cm="1">
        <f t="array" aca="1" ref="D87" ca="1">IF(ISNUMBER(_xll.VoseSimPercentile(EV,$B87)),_xll.VoseSimPercentile(EV,$B87),NA())</f>
        <v>583.588055448143</v>
      </c>
      <c r="E87" s="77" cm="1">
        <f t="array" aca="1" ref="E87" ca="1">IF(ISNUMBER(_xll.VoseSimPercentile(EV_Mult,$B87)),_xll.VoseSimPercentile(EV_Mult,$B87),NA())</f>
        <v>607.64201335064934</v>
      </c>
    </row>
    <row r="88" spans="2:5" hidden="1" outlineLevel="1" x14ac:dyDescent="0.45">
      <c r="B88" s="76">
        <v>0.39</v>
      </c>
      <c r="C88" s="76">
        <f t="shared" si="0"/>
        <v>0.61</v>
      </c>
      <c r="D88" s="77" cm="1">
        <f t="array" aca="1" ref="D88" ca="1">IF(ISNUMBER(_xll.VoseSimPercentile(EV,$B88)),_xll.VoseSimPercentile(EV,$B88),NA())</f>
        <v>588.25269546076584</v>
      </c>
      <c r="E88" s="77" cm="1">
        <f t="array" aca="1" ref="E88" ca="1">IF(ISNUMBER(_xll.VoseSimPercentile(EV_Mult,$B88)),_xll.VoseSimPercentile(EV_Mult,$B88),NA())</f>
        <v>611.45227494252606</v>
      </c>
    </row>
    <row r="89" spans="2:5" hidden="1" outlineLevel="1" x14ac:dyDescent="0.45">
      <c r="B89" s="76">
        <v>0.41</v>
      </c>
      <c r="C89" s="76">
        <f t="shared" si="0"/>
        <v>0.59000000000000008</v>
      </c>
      <c r="D89" s="77" cm="1">
        <f t="array" aca="1" ref="D89" ca="1">IF(ISNUMBER(_xll.VoseSimPercentile(EV,$B89)),_xll.VoseSimPercentile(EV,$B89),NA())</f>
        <v>592.39361117050862</v>
      </c>
      <c r="E89" s="77" cm="1">
        <f t="array" aca="1" ref="E89" ca="1">IF(ISNUMBER(_xll.VoseSimPercentile(EV_Mult,$B89)),_xll.VoseSimPercentile(EV_Mult,$B89),NA())</f>
        <v>615.09370610620385</v>
      </c>
    </row>
    <row r="90" spans="2:5" hidden="1" outlineLevel="1" x14ac:dyDescent="0.45">
      <c r="B90" s="76">
        <v>0.43</v>
      </c>
      <c r="C90" s="76">
        <f t="shared" si="0"/>
        <v>0.57000000000000006</v>
      </c>
      <c r="D90" s="77" cm="1">
        <f t="array" aca="1" ref="D90" ca="1">IF(ISNUMBER(_xll.VoseSimPercentile(EV,$B90)),_xll.VoseSimPercentile(EV,$B90),NA())</f>
        <v>596.65381870088765</v>
      </c>
      <c r="E90" s="77" cm="1">
        <f t="array" aca="1" ref="E90" ca="1">IF(ISNUMBER(_xll.VoseSimPercentile(EV_Mult,$B90)),_xll.VoseSimPercentile(EV_Mult,$B90),NA())</f>
        <v>619.04614960377137</v>
      </c>
    </row>
    <row r="91" spans="2:5" hidden="1" outlineLevel="1" x14ac:dyDescent="0.45">
      <c r="B91" s="76">
        <v>0.45</v>
      </c>
      <c r="C91" s="76">
        <f t="shared" si="0"/>
        <v>0.55000000000000004</v>
      </c>
      <c r="D91" s="77" cm="1">
        <f t="array" aca="1" ref="D91" ca="1">IF(ISNUMBER(_xll.VoseSimPercentile(EV,$B91)),_xll.VoseSimPercentile(EV,$B91),NA())</f>
        <v>601.161743199885</v>
      </c>
      <c r="E91" s="77" cm="1">
        <f t="array" aca="1" ref="E91" ca="1">IF(ISNUMBER(_xll.VoseSimPercentile(EV_Mult,$B91)),_xll.VoseSimPercentile(EV_Mult,$B91),NA())</f>
        <v>622.91418484258679</v>
      </c>
    </row>
    <row r="92" spans="2:5" hidden="1" outlineLevel="1" x14ac:dyDescent="0.45">
      <c r="B92" s="76">
        <v>0.47</v>
      </c>
      <c r="C92" s="76">
        <f t="shared" si="0"/>
        <v>0.53</v>
      </c>
      <c r="D92" s="77" cm="1">
        <f t="array" aca="1" ref="D92" ca="1">IF(ISNUMBER(_xll.VoseSimPercentile(EV,$B92)),_xll.VoseSimPercentile(EV,$B92),NA())</f>
        <v>605.322936047197</v>
      </c>
      <c r="E92" s="77" cm="1">
        <f t="array" aca="1" ref="E92" ca="1">IF(ISNUMBER(_xll.VoseSimPercentile(EV_Mult,$B92)),_xll.VoseSimPercentile(EV_Mult,$B92),NA())</f>
        <v>627.00341311202283</v>
      </c>
    </row>
    <row r="93" spans="2:5" hidden="1" outlineLevel="1" x14ac:dyDescent="0.45">
      <c r="B93" s="76">
        <v>0.49</v>
      </c>
      <c r="C93" s="76">
        <f t="shared" si="0"/>
        <v>0.51</v>
      </c>
      <c r="D93" s="77" cm="1">
        <f t="array" aca="1" ref="D93" ca="1">IF(ISNUMBER(_xll.VoseSimPercentile(EV,$B93)),_xll.VoseSimPercentile(EV,$B93),NA())</f>
        <v>609.5428250363567</v>
      </c>
      <c r="E93" s="77" cm="1">
        <f t="array" aca="1" ref="E93" ca="1">IF(ISNUMBER(_xll.VoseSimPercentile(EV_Mult,$B93)),_xll.VoseSimPercentile(EV_Mult,$B93),NA())</f>
        <v>631.15894702112143</v>
      </c>
    </row>
    <row r="94" spans="2:5" hidden="1" outlineLevel="1" x14ac:dyDescent="0.45">
      <c r="B94" s="76">
        <v>0.51</v>
      </c>
      <c r="C94" s="76">
        <f t="shared" si="0"/>
        <v>0.49</v>
      </c>
      <c r="D94" s="77" cm="1">
        <f t="array" aca="1" ref="D94" ca="1">IF(ISNUMBER(_xll.VoseSimPercentile(EV,$B94)),_xll.VoseSimPercentile(EV,$B94),NA())</f>
        <v>614.16185221386013</v>
      </c>
      <c r="E94" s="77" cm="1">
        <f t="array" aca="1" ref="E94" ca="1">IF(ISNUMBER(_xll.VoseSimPercentile(EV_Mult,$B94)),_xll.VoseSimPercentile(EV_Mult,$B94),NA())</f>
        <v>634.81009779311262</v>
      </c>
    </row>
    <row r="95" spans="2:5" hidden="1" outlineLevel="1" x14ac:dyDescent="0.45">
      <c r="B95" s="76">
        <v>0.53</v>
      </c>
      <c r="C95" s="76">
        <f t="shared" si="0"/>
        <v>0.47</v>
      </c>
      <c r="D95" s="77" cm="1">
        <f t="array" aca="1" ref="D95" ca="1">IF(ISNUMBER(_xll.VoseSimPercentile(EV,$B95)),_xll.VoseSimPercentile(EV,$B95),NA())</f>
        <v>618.69470986146939</v>
      </c>
      <c r="E95" s="77" cm="1">
        <f t="array" aca="1" ref="E95" ca="1">IF(ISNUMBER(_xll.VoseSimPercentile(EV_Mult,$B95)),_xll.VoseSimPercentile(EV_Mult,$B95),NA())</f>
        <v>638.9996974740144</v>
      </c>
    </row>
    <row r="96" spans="2:5" hidden="1" outlineLevel="1" x14ac:dyDescent="0.45">
      <c r="B96" s="76">
        <v>0.55000000000000004</v>
      </c>
      <c r="C96" s="76">
        <f t="shared" si="0"/>
        <v>0.44999999999999996</v>
      </c>
      <c r="D96" s="77" cm="1">
        <f t="array" aca="1" ref="D96" ca="1">IF(ISNUMBER(_xll.VoseSimPercentile(EV,$B96)),_xll.VoseSimPercentile(EV,$B96),NA())</f>
        <v>623.38276508425793</v>
      </c>
      <c r="E96" s="77" cm="1">
        <f t="array" aca="1" ref="E96" ca="1">IF(ISNUMBER(_xll.VoseSimPercentile(EV_Mult,$B96)),_xll.VoseSimPercentile(EV_Mult,$B96),NA())</f>
        <v>642.77938994194074</v>
      </c>
    </row>
    <row r="97" spans="2:5" hidden="1" outlineLevel="1" x14ac:dyDescent="0.45">
      <c r="B97" s="76">
        <v>0.56999999999999995</v>
      </c>
      <c r="C97" s="76">
        <f t="shared" si="0"/>
        <v>0.43000000000000005</v>
      </c>
      <c r="D97" s="77" cm="1">
        <f t="array" aca="1" ref="D97" ca="1">IF(ISNUMBER(_xll.VoseSimPercentile(EV,$B97)),_xll.VoseSimPercentile(EV,$B97),NA())</f>
        <v>628.00494612788304</v>
      </c>
      <c r="E97" s="77" cm="1">
        <f t="array" aca="1" ref="E97" ca="1">IF(ISNUMBER(_xll.VoseSimPercentile(EV_Mult,$B97)),_xll.VoseSimPercentile(EV_Mult,$B97),NA())</f>
        <v>646.79342484151562</v>
      </c>
    </row>
    <row r="98" spans="2:5" hidden="1" outlineLevel="1" x14ac:dyDescent="0.45">
      <c r="B98" s="76">
        <v>0.59</v>
      </c>
      <c r="C98" s="76">
        <f t="shared" si="0"/>
        <v>0.41000000000000003</v>
      </c>
      <c r="D98" s="77" cm="1">
        <f t="array" aca="1" ref="D98" ca="1">IF(ISNUMBER(_xll.VoseSimPercentile(EV,$B98)),_xll.VoseSimPercentile(EV,$B98),NA())</f>
        <v>632.76830400264862</v>
      </c>
      <c r="E98" s="77" cm="1">
        <f t="array" aca="1" ref="E98" ca="1">IF(ISNUMBER(_xll.VoseSimPercentile(EV_Mult,$B98)),_xll.VoseSimPercentile(EV_Mult,$B98),NA())</f>
        <v>650.5461972143529</v>
      </c>
    </row>
    <row r="99" spans="2:5" hidden="1" outlineLevel="1" x14ac:dyDescent="0.45">
      <c r="B99" s="76">
        <v>0.61</v>
      </c>
      <c r="C99" s="76">
        <f t="shared" si="0"/>
        <v>0.39</v>
      </c>
      <c r="D99" s="77" cm="1">
        <f t="array" aca="1" ref="D99" ca="1">IF(ISNUMBER(_xll.VoseSimPercentile(EV,$B99)),_xll.VoseSimPercentile(EV,$B99),NA())</f>
        <v>637.33139769966078</v>
      </c>
      <c r="E99" s="77" cm="1">
        <f t="array" aca="1" ref="E99" ca="1">IF(ISNUMBER(_xll.VoseSimPercentile(EV_Mult,$B99)),_xll.VoseSimPercentile(EV_Mult,$B99),NA())</f>
        <v>654.74674683416083</v>
      </c>
    </row>
    <row r="100" spans="2:5" hidden="1" outlineLevel="1" x14ac:dyDescent="0.45">
      <c r="B100" s="76">
        <v>0.63</v>
      </c>
      <c r="C100" s="76">
        <f t="shared" si="0"/>
        <v>0.37</v>
      </c>
      <c r="D100" s="77" cm="1">
        <f t="array" aca="1" ref="D100" ca="1">IF(ISNUMBER(_xll.VoseSimPercentile(EV,$B100)),_xll.VoseSimPercentile(EV,$B100),NA())</f>
        <v>642.18633261751415</v>
      </c>
      <c r="E100" s="77" cm="1">
        <f t="array" aca="1" ref="E100" ca="1">IF(ISNUMBER(_xll.VoseSimPercentile(EV_Mult,$B100)),_xll.VoseSimPercentile(EV_Mult,$B100),NA())</f>
        <v>659.07997408565143</v>
      </c>
    </row>
    <row r="101" spans="2:5" hidden="1" outlineLevel="1" x14ac:dyDescent="0.45">
      <c r="B101" s="76">
        <v>0.65</v>
      </c>
      <c r="C101" s="76">
        <f t="shared" ref="C101:C132" si="1">1-B101</f>
        <v>0.35</v>
      </c>
      <c r="D101" s="77" cm="1">
        <f t="array" aca="1" ref="D101" ca="1">IF(ISNUMBER(_xll.VoseSimPercentile(EV,$B101)),_xll.VoseSimPercentile(EV,$B101),NA())</f>
        <v>646.86470706141688</v>
      </c>
      <c r="E101" s="77" cm="1">
        <f t="array" aca="1" ref="E101" ca="1">IF(ISNUMBER(_xll.VoseSimPercentile(EV_Mult,$B101)),_xll.VoseSimPercentile(EV_Mult,$B101),NA())</f>
        <v>662.96915289178207</v>
      </c>
    </row>
    <row r="102" spans="2:5" hidden="1" outlineLevel="1" x14ac:dyDescent="0.45">
      <c r="B102" s="76">
        <v>0.67</v>
      </c>
      <c r="C102" s="76">
        <f t="shared" si="1"/>
        <v>0.32999999999999996</v>
      </c>
      <c r="D102" s="77" cm="1">
        <f t="array" aca="1" ref="D102" ca="1">IF(ISNUMBER(_xll.VoseSimPercentile(EV,$B102)),_xll.VoseSimPercentile(EV,$B102),NA())</f>
        <v>651.7625213087756</v>
      </c>
      <c r="E102" s="77" cm="1">
        <f t="array" aca="1" ref="E102" ca="1">IF(ISNUMBER(_xll.VoseSimPercentile(EV_Mult,$B102)),_xll.VoseSimPercentile(EV_Mult,$B102),NA())</f>
        <v>667.00029960820018</v>
      </c>
    </row>
    <row r="103" spans="2:5" hidden="1" outlineLevel="1" x14ac:dyDescent="0.45">
      <c r="B103" s="76">
        <v>0.69</v>
      </c>
      <c r="C103" s="76">
        <f t="shared" si="1"/>
        <v>0.31000000000000005</v>
      </c>
      <c r="D103" s="77" cm="1">
        <f t="array" aca="1" ref="D103" ca="1">IF(ISNUMBER(_xll.VoseSimPercentile(EV,$B103)),_xll.VoseSimPercentile(EV,$B103),NA())</f>
        <v>657.04490465796857</v>
      </c>
      <c r="E103" s="77" cm="1">
        <f t="array" aca="1" ref="E103" ca="1">IF(ISNUMBER(_xll.VoseSimPercentile(EV_Mult,$B103)),_xll.VoseSimPercentile(EV_Mult,$B103),NA())</f>
        <v>671.33987280208851</v>
      </c>
    </row>
    <row r="104" spans="2:5" hidden="1" outlineLevel="1" x14ac:dyDescent="0.45">
      <c r="B104" s="76">
        <v>0.71</v>
      </c>
      <c r="C104" s="76">
        <f t="shared" si="1"/>
        <v>0.29000000000000004</v>
      </c>
      <c r="D104" s="77" cm="1">
        <f t="array" aca="1" ref="D104" ca="1">IF(ISNUMBER(_xll.VoseSimPercentile(EV,$B104)),_xll.VoseSimPercentile(EV,$B104),NA())</f>
        <v>662.27558425382676</v>
      </c>
      <c r="E104" s="77" cm="1">
        <f t="array" aca="1" ref="E104" ca="1">IF(ISNUMBER(_xll.VoseSimPercentile(EV_Mult,$B104)),_xll.VoseSimPercentile(EV_Mult,$B104),NA())</f>
        <v>675.95632294917925</v>
      </c>
    </row>
    <row r="105" spans="2:5" hidden="1" outlineLevel="1" x14ac:dyDescent="0.45">
      <c r="B105" s="76">
        <v>0.73</v>
      </c>
      <c r="C105" s="76">
        <f t="shared" si="1"/>
        <v>0.27</v>
      </c>
      <c r="D105" s="77" cm="1">
        <f t="array" aca="1" ref="D105" ca="1">IF(ISNUMBER(_xll.VoseSimPercentile(EV,$B105)),_xll.VoseSimPercentile(EV,$B105),NA())</f>
        <v>667.20418303103986</v>
      </c>
      <c r="E105" s="77" cm="1">
        <f t="array" aca="1" ref="E105" ca="1">IF(ISNUMBER(_xll.VoseSimPercentile(EV_Mult,$B105)),_xll.VoseSimPercentile(EV_Mult,$B105),NA())</f>
        <v>681.7148509134056</v>
      </c>
    </row>
    <row r="106" spans="2:5" hidden="1" outlineLevel="1" x14ac:dyDescent="0.45">
      <c r="B106" s="76">
        <v>0.75</v>
      </c>
      <c r="C106" s="76">
        <f t="shared" si="1"/>
        <v>0.25</v>
      </c>
      <c r="D106" s="77" cm="1">
        <f t="array" aca="1" ref="D106" ca="1">IF(ISNUMBER(_xll.VoseSimPercentile(EV,$B106)),_xll.VoseSimPercentile(EV,$B106),NA())</f>
        <v>672.54664407792131</v>
      </c>
      <c r="E106" s="77" cm="1">
        <f t="array" aca="1" ref="E106" ca="1">IF(ISNUMBER(_xll.VoseSimPercentile(EV_Mult,$B106)),_xll.VoseSimPercentile(EV_Mult,$B106),NA())</f>
        <v>686.26745969311651</v>
      </c>
    </row>
    <row r="107" spans="2:5" hidden="1" outlineLevel="1" x14ac:dyDescent="0.45">
      <c r="B107" s="76">
        <v>0.77</v>
      </c>
      <c r="C107" s="76">
        <f t="shared" si="1"/>
        <v>0.22999999999999998</v>
      </c>
      <c r="D107" s="77" cm="1">
        <f t="array" aca="1" ref="D107" ca="1">IF(ISNUMBER(_xll.VoseSimPercentile(EV,$B107)),_xll.VoseSimPercentile(EV,$B107),NA())</f>
        <v>678.85172837576829</v>
      </c>
      <c r="E107" s="77" cm="1">
        <f t="array" aca="1" ref="E107" ca="1">IF(ISNUMBER(_xll.VoseSimPercentile(EV_Mult,$B107)),_xll.VoseSimPercentile(EV_Mult,$B107),NA())</f>
        <v>691.17577854472813</v>
      </c>
    </row>
    <row r="108" spans="2:5" hidden="1" outlineLevel="1" x14ac:dyDescent="0.45">
      <c r="B108" s="76">
        <v>0.79</v>
      </c>
      <c r="C108" s="76">
        <f t="shared" si="1"/>
        <v>0.20999999999999996</v>
      </c>
      <c r="D108" s="77" cm="1">
        <f t="array" aca="1" ref="D108" ca="1">IF(ISNUMBER(_xll.VoseSimPercentile(EV,$B108)),_xll.VoseSimPercentile(EV,$B108),NA())</f>
        <v>685.72259802140798</v>
      </c>
      <c r="E108" s="77" cm="1">
        <f t="array" aca="1" ref="E108" ca="1">IF(ISNUMBER(_xll.VoseSimPercentile(EV_Mult,$B108)),_xll.VoseSimPercentile(EV_Mult,$B108),NA())</f>
        <v>697.11858023603043</v>
      </c>
    </row>
    <row r="109" spans="2:5" hidden="1" outlineLevel="1" x14ac:dyDescent="0.45">
      <c r="B109" s="76">
        <v>0.81</v>
      </c>
      <c r="C109" s="76">
        <f t="shared" si="1"/>
        <v>0.18999999999999995</v>
      </c>
      <c r="D109" s="77" cm="1">
        <f t="array" aca="1" ref="D109" ca="1">IF(ISNUMBER(_xll.VoseSimPercentile(EV,$B109)),_xll.VoseSimPercentile(EV,$B109),NA())</f>
        <v>691.50305828480998</v>
      </c>
      <c r="E109" s="77" cm="1">
        <f t="array" aca="1" ref="E109" ca="1">IF(ISNUMBER(_xll.VoseSimPercentile(EV_Mult,$B109)),_xll.VoseSimPercentile(EV_Mult,$B109),NA())</f>
        <v>703.34734290805136</v>
      </c>
    </row>
    <row r="110" spans="2:5" hidden="1" outlineLevel="1" x14ac:dyDescent="0.45">
      <c r="B110" s="76">
        <v>0.83</v>
      </c>
      <c r="C110" s="76">
        <f t="shared" si="1"/>
        <v>0.17000000000000004</v>
      </c>
      <c r="D110" s="77" cm="1">
        <f t="array" aca="1" ref="D110" ca="1">IF(ISNUMBER(_xll.VoseSimPercentile(EV,$B110)),_xll.VoseSimPercentile(EV,$B110),NA())</f>
        <v>699.51640540835706</v>
      </c>
      <c r="E110" s="77" cm="1">
        <f t="array" aca="1" ref="E110" ca="1">IF(ISNUMBER(_xll.VoseSimPercentile(EV_Mult,$B110)),_xll.VoseSimPercentile(EV_Mult,$B110),NA())</f>
        <v>710.27383228534575</v>
      </c>
    </row>
    <row r="111" spans="2:5" hidden="1" outlineLevel="1" x14ac:dyDescent="0.45">
      <c r="B111" s="76">
        <v>0.85</v>
      </c>
      <c r="C111" s="76">
        <f t="shared" si="1"/>
        <v>0.15000000000000002</v>
      </c>
      <c r="D111" s="77" cm="1">
        <f t="array" aca="1" ref="D111" ca="1">IF(ISNUMBER(_xll.VoseSimPercentile(EV,$B111)),_xll.VoseSimPercentile(EV,$B111),NA())</f>
        <v>707.90359184696752</v>
      </c>
      <c r="E111" s="77" cm="1">
        <f t="array" aca="1" ref="E111" ca="1">IF(ISNUMBER(_xll.VoseSimPercentile(EV_Mult,$B111)),_xll.VoseSimPercentile(EV_Mult,$B111),NA())</f>
        <v>716.58527284670595</v>
      </c>
    </row>
    <row r="112" spans="2:5" hidden="1" outlineLevel="1" x14ac:dyDescent="0.45">
      <c r="B112" s="76">
        <v>0.87</v>
      </c>
      <c r="C112" s="76">
        <f t="shared" si="1"/>
        <v>0.13</v>
      </c>
      <c r="D112" s="77" cm="1">
        <f t="array" aca="1" ref="D112" ca="1">IF(ISNUMBER(_xll.VoseSimPercentile(EV,$B112)),_xll.VoseSimPercentile(EV,$B112),NA())</f>
        <v>716.39510609673357</v>
      </c>
      <c r="E112" s="77" cm="1">
        <f t="array" aca="1" ref="E112" ca="1">IF(ISNUMBER(_xll.VoseSimPercentile(EV_Mult,$B112)),_xll.VoseSimPercentile(EV_Mult,$B112),NA())</f>
        <v>724.43180774074267</v>
      </c>
    </row>
    <row r="113" spans="2:7" hidden="1" outlineLevel="1" x14ac:dyDescent="0.45">
      <c r="B113" s="76">
        <v>0.89</v>
      </c>
      <c r="C113" s="76">
        <f t="shared" si="1"/>
        <v>0.10999999999999999</v>
      </c>
      <c r="D113" s="77" cm="1">
        <f t="array" aca="1" ref="D113" ca="1">IF(ISNUMBER(_xll.VoseSimPercentile(EV,$B113)),_xll.VoseSimPercentile(EV,$B113),NA())</f>
        <v>726.53828408742629</v>
      </c>
      <c r="E113" s="77" cm="1">
        <f t="array" aca="1" ref="E113" ca="1">IF(ISNUMBER(_xll.VoseSimPercentile(EV_Mult,$B113)),_xll.VoseSimPercentile(EV_Mult,$B113),NA())</f>
        <v>731.92261968303512</v>
      </c>
    </row>
    <row r="114" spans="2:7" hidden="1" outlineLevel="1" x14ac:dyDescent="0.45">
      <c r="B114" s="76">
        <v>0.91</v>
      </c>
      <c r="C114" s="76">
        <f t="shared" si="1"/>
        <v>8.9999999999999969E-2</v>
      </c>
      <c r="D114" s="77" cm="1">
        <f t="array" aca="1" ref="D114" ca="1">IF(ISNUMBER(_xll.VoseSimPercentile(EV,$B114)),_xll.VoseSimPercentile(EV,$B114),NA())</f>
        <v>736.69974776045535</v>
      </c>
      <c r="E114" s="77" cm="1">
        <f t="array" aca="1" ref="E114" ca="1">IF(ISNUMBER(_xll.VoseSimPercentile(EV_Mult,$B114)),_xll.VoseSimPercentile(EV_Mult,$B114),NA())</f>
        <v>740.92329726276671</v>
      </c>
    </row>
    <row r="115" spans="2:7" hidden="1" outlineLevel="1" x14ac:dyDescent="0.45">
      <c r="B115" s="76">
        <v>0.93</v>
      </c>
      <c r="C115" s="76">
        <f t="shared" si="1"/>
        <v>6.9999999999999951E-2</v>
      </c>
      <c r="D115" s="77" cm="1">
        <f t="array" aca="1" ref="D115" ca="1">IF(ISNUMBER(_xll.VoseSimPercentile(EV,$B115)),_xll.VoseSimPercentile(EV,$B115),NA())</f>
        <v>750.73728494432169</v>
      </c>
      <c r="E115" s="77" cm="1">
        <f t="array" aca="1" ref="E115" ca="1">IF(ISNUMBER(_xll.VoseSimPercentile(EV_Mult,$B115)),_xll.VoseSimPercentile(EV_Mult,$B115),NA())</f>
        <v>751.63298153509663</v>
      </c>
    </row>
    <row r="116" spans="2:7" hidden="1" outlineLevel="1" x14ac:dyDescent="0.45">
      <c r="B116" s="76">
        <v>0.95</v>
      </c>
      <c r="C116" s="76">
        <f t="shared" si="1"/>
        <v>5.0000000000000044E-2</v>
      </c>
      <c r="D116" s="77" cm="1">
        <f t="array" aca="1" ref="D116" ca="1">IF(ISNUMBER(_xll.VoseSimPercentile(EV,$B116)),_xll.VoseSimPercentile(EV,$B116),NA())</f>
        <v>768.38123108052287</v>
      </c>
      <c r="E116" s="77" cm="1">
        <f t="array" aca="1" ref="E116" ca="1">IF(ISNUMBER(_xll.VoseSimPercentile(EV_Mult,$B116)),_xll.VoseSimPercentile(EV_Mult,$B116),NA())</f>
        <v>764.31795722151173</v>
      </c>
    </row>
    <row r="117" spans="2:7" hidden="1" outlineLevel="1" x14ac:dyDescent="0.45">
      <c r="B117" s="76">
        <v>0.97</v>
      </c>
      <c r="C117" s="76">
        <f t="shared" si="1"/>
        <v>3.0000000000000027E-2</v>
      </c>
      <c r="D117" s="77" cm="1">
        <f t="array" aca="1" ref="D117" ca="1">IF(ISNUMBER(_xll.VoseSimPercentile(EV,$B117)),_xll.VoseSimPercentile(EV,$B117),NA())</f>
        <v>791.72494053627202</v>
      </c>
      <c r="E117" s="77" cm="1">
        <f t="array" aca="1" ref="E117" ca="1">IF(ISNUMBER(_xll.VoseSimPercentile(EV_Mult,$B117)),_xll.VoseSimPercentile(EV_Mult,$B117),NA())</f>
        <v>780.48929345974136</v>
      </c>
    </row>
    <row r="118" spans="2:7" hidden="1" outlineLevel="1" x14ac:dyDescent="0.45">
      <c r="B118" s="76">
        <v>0.99</v>
      </c>
      <c r="C118" s="76">
        <f t="shared" si="1"/>
        <v>1.0000000000000009E-2</v>
      </c>
      <c r="D118" s="77" cm="1">
        <f t="array" aca="1" ref="D118" ca="1">IF(ISNUMBER(_xll.VoseSimPercentile(EV,$B118)),_xll.VoseSimPercentile(EV,$B118),NA())</f>
        <v>842.16687266066992</v>
      </c>
      <c r="E118" s="77" cm="1">
        <f t="array" aca="1" ref="E118" ca="1">IF(ISNUMBER(_xll.VoseSimPercentile(EV_Mult,$B118)),_xll.VoseSimPercentile(EV_Mult,$B118),NA())</f>
        <v>811.68837596387232</v>
      </c>
    </row>
    <row r="119" spans="2:7" hidden="1" outlineLevel="1" x14ac:dyDescent="0.45"/>
    <row r="120" spans="2:7" hidden="1" outlineLevel="1" x14ac:dyDescent="0.45">
      <c r="B120" s="78" t="s">
        <v>245</v>
      </c>
      <c r="D120" s="79" cm="1">
        <f t="array" aca="1" ref="D120" ca="1">_xll.VoseSimMean(EV)</f>
        <v>616.2123124366567</v>
      </c>
    </row>
    <row r="121" spans="2:7" ht="18" hidden="1" customHeight="1" outlineLevel="1" x14ac:dyDescent="0.45">
      <c r="B121" s="23" t="s">
        <v>246</v>
      </c>
      <c r="C121" s="5"/>
      <c r="D121" s="5"/>
      <c r="E121" s="5"/>
      <c r="F121" s="24" t="s">
        <v>247</v>
      </c>
      <c r="G121" s="24" t="s">
        <v>248</v>
      </c>
    </row>
    <row r="122" spans="2:7" hidden="1" outlineLevel="1" x14ac:dyDescent="0.45">
      <c r="B122" s="80" t="str">
        <f ca="1">B47</f>
        <v>EBITDA margin</v>
      </c>
      <c r="F122" s="81">
        <f ca="1">IFERROR(D47-$D$120,NA())</f>
        <v>99.57337446181748</v>
      </c>
      <c r="G122" s="81">
        <f ca="1">IFERROR(C47-$D$120,NA())</f>
        <v>-106.90932990542859</v>
      </c>
    </row>
    <row r="123" spans="2:7" hidden="1" outlineLevel="1" x14ac:dyDescent="0.45">
      <c r="B123" s="80" t="str">
        <f ca="1">B48</f>
        <v>Revenue growth</v>
      </c>
      <c r="F123" s="81">
        <f ca="1">IFERROR(D48-$D$120,NA())</f>
        <v>90.934108916991818</v>
      </c>
      <c r="G123" s="81">
        <f ca="1">IFERROR(C48-$D$120,NA())</f>
        <v>-92.163399633771974</v>
      </c>
    </row>
    <row r="124" spans="2:7" hidden="1" outlineLevel="1" x14ac:dyDescent="0.45">
      <c r="B124" s="80" t="str">
        <f ca="1">B49</f>
        <v>Cost of capital</v>
      </c>
      <c r="F124" s="81">
        <f ca="1">IFERROR(D49-$D$120,NA())</f>
        <v>77.78940164286621</v>
      </c>
      <c r="G124" s="81">
        <f ca="1">IFERROR(C49-$D$120,NA())</f>
        <v>-74.088870542653694</v>
      </c>
    </row>
    <row r="125" spans="2:7" hidden="1" outlineLevel="1" x14ac:dyDescent="0.45">
      <c r="B125" s="80" t="str">
        <f ca="1">B50</f>
        <v>Capex</v>
      </c>
      <c r="F125" s="81">
        <f ca="1">IFERROR(D50-$D$120,NA())</f>
        <v>48.194821433474772</v>
      </c>
      <c r="G125" s="81">
        <f ca="1">IFERROR(C50-$D$120,NA())</f>
        <v>-48.46705403812507</v>
      </c>
    </row>
    <row r="126" spans="2:7" hidden="1" outlineLevel="1" x14ac:dyDescent="0.45">
      <c r="B126" s="80" t="str">
        <f ca="1">B51</f>
        <v>Long-term growth</v>
      </c>
      <c r="F126" s="81">
        <f ca="1">IFERROR(D51-$D$120,NA())</f>
        <v>50.57275168557635</v>
      </c>
      <c r="G126" s="81">
        <f ca="1">IFERROR(C51-$D$120,NA())</f>
        <v>-46.025472612048134</v>
      </c>
    </row>
    <row r="127" spans="2:7" hidden="1" outlineLevel="1" x14ac:dyDescent="0.45"/>
    <row r="128" spans="2:7" ht="18" hidden="1" customHeight="1" outlineLevel="1" x14ac:dyDescent="0.45">
      <c r="B128" s="23" t="s">
        <v>249</v>
      </c>
      <c r="C128" s="24" t="s">
        <v>172</v>
      </c>
      <c r="D128" s="5"/>
      <c r="E128" s="5"/>
      <c r="F128" s="5"/>
      <c r="G128" s="5"/>
    </row>
    <row r="129" spans="2:3" hidden="1" outlineLevel="1" x14ac:dyDescent="0.45">
      <c r="B129" s="82">
        <v>5.0000000000000001E-3</v>
      </c>
      <c r="C129" s="77" cm="1">
        <f t="array" aca="1" ref="C129" ca="1">IF(ISNUMBER(_xll.VoseSimPercentile(EV,0.005)),_xll.VoseSimPercentile(EV,0.005),NA())</f>
        <v>420.35959223438635</v>
      </c>
    </row>
    <row r="130" spans="2:3" hidden="1" outlineLevel="1" x14ac:dyDescent="0.45">
      <c r="B130" s="82">
        <v>0.01</v>
      </c>
      <c r="C130" s="77" cm="1">
        <f t="array" aca="1" ref="C130" ca="1">IF(ISNUMBER(_xll.VoseSimPercentile(EV,0.01)),_xll.VoseSimPercentile(EV,0.01),NA())</f>
        <v>436.2091523066025</v>
      </c>
    </row>
    <row r="131" spans="2:3" hidden="1" outlineLevel="1" x14ac:dyDescent="0.45">
      <c r="B131" s="82">
        <v>0.02</v>
      </c>
      <c r="C131" s="77" cm="1">
        <f t="array" aca="1" ref="C131" ca="1">IF(ISNUMBER(_xll.VoseSimPercentile(EV,0.02)),_xll.VoseSimPercentile(EV,0.02),NA())</f>
        <v>451.03451946550518</v>
      </c>
    </row>
    <row r="132" spans="2:3" hidden="1" outlineLevel="1" x14ac:dyDescent="0.45">
      <c r="B132" s="82">
        <v>0.03</v>
      </c>
      <c r="C132" s="77" cm="1">
        <f t="array" aca="1" ref="C132" ca="1">IF(ISNUMBER(_xll.VoseSimPercentile(EV,0.03)),_xll.VoseSimPercentile(EV,0.03),NA())</f>
        <v>463.80318354667384</v>
      </c>
    </row>
    <row r="133" spans="2:3" hidden="1" outlineLevel="1" x14ac:dyDescent="0.45">
      <c r="B133" s="82">
        <v>0.04</v>
      </c>
      <c r="C133" s="77" cm="1">
        <f t="array" aca="1" ref="C133" ca="1">IF(ISNUMBER(_xll.VoseSimPercentile(EV,0.04)),_xll.VoseSimPercentile(EV,0.04),NA())</f>
        <v>471.91066775311583</v>
      </c>
    </row>
    <row r="134" spans="2:3" hidden="1" outlineLevel="1" x14ac:dyDescent="0.45">
      <c r="B134" s="82">
        <v>0.05</v>
      </c>
      <c r="C134" s="77" cm="1">
        <f t="array" aca="1" ref="C134" ca="1">IF(ISNUMBER(_xll.VoseSimPercentile(EV,0.05)),_xll.VoseSimPercentile(EV,0.05),NA())</f>
        <v>479.8623915145896</v>
      </c>
    </row>
    <row r="135" spans="2:3" hidden="1" outlineLevel="1" x14ac:dyDescent="0.45">
      <c r="B135" s="82">
        <v>0.06</v>
      </c>
      <c r="C135" s="77" cm="1">
        <f t="array" aca="1" ref="C135" ca="1">IF(ISNUMBER(_xll.VoseSimPercentile(EV,0.06)),_xll.VoseSimPercentile(EV,0.06),NA())</f>
        <v>486.84308338661674</v>
      </c>
    </row>
    <row r="136" spans="2:3" hidden="1" outlineLevel="1" x14ac:dyDescent="0.45">
      <c r="B136" s="82">
        <v>7.0000000000000007E-2</v>
      </c>
      <c r="C136" s="77" cm="1">
        <f t="array" aca="1" ref="C136" ca="1">IF(ISNUMBER(_xll.VoseSimPercentile(EV,0.07)),_xll.VoseSimPercentile(EV,0.07),NA())</f>
        <v>492.17369736043349</v>
      </c>
    </row>
    <row r="137" spans="2:3" hidden="1" outlineLevel="1" x14ac:dyDescent="0.45">
      <c r="B137" s="82">
        <v>0.08</v>
      </c>
      <c r="C137" s="77" cm="1">
        <f t="array" aca="1" ref="C137" ca="1">IF(ISNUMBER(_xll.VoseSimPercentile(EV,0.08)),_xll.VoseSimPercentile(EV,0.08),NA())</f>
        <v>496.46960101743775</v>
      </c>
    </row>
    <row r="138" spans="2:3" hidden="1" outlineLevel="1" x14ac:dyDescent="0.45">
      <c r="B138" s="82">
        <v>0.09</v>
      </c>
      <c r="C138" s="77" cm="1">
        <f t="array" aca="1" ref="C138" ca="1">IF(ISNUMBER(_xll.VoseSimPercentile(EV,0.09)),_xll.VoseSimPercentile(EV,0.09),NA())</f>
        <v>500.91683279762879</v>
      </c>
    </row>
    <row r="139" spans="2:3" hidden="1" outlineLevel="1" x14ac:dyDescent="0.45">
      <c r="B139" s="82">
        <v>0.1</v>
      </c>
      <c r="C139" s="77" cm="1">
        <f t="array" aca="1" ref="C139" ca="1">IF(ISNUMBER(_xll.VoseSimPercentile(EV,0.1)),_xll.VoseSimPercentile(EV,0.1),NA())</f>
        <v>504.45657203555641</v>
      </c>
    </row>
    <row r="140" spans="2:3" hidden="1" outlineLevel="1" x14ac:dyDescent="0.45">
      <c r="B140" s="82">
        <v>0.11</v>
      </c>
      <c r="C140" s="77" cm="1">
        <f t="array" aca="1" ref="C140" ca="1">IF(ISNUMBER(_xll.VoseSimPercentile(EV,0.11)),_xll.VoseSimPercentile(EV,0.11),NA())</f>
        <v>509.0803492334623</v>
      </c>
    </row>
    <row r="141" spans="2:3" hidden="1" outlineLevel="1" x14ac:dyDescent="0.45">
      <c r="B141" s="82">
        <v>0.12</v>
      </c>
      <c r="C141" s="77" cm="1">
        <f t="array" aca="1" ref="C141" ca="1">IF(ISNUMBER(_xll.VoseSimPercentile(EV,0.12)),_xll.VoseSimPercentile(EV,0.12),NA())</f>
        <v>512.9025153163243</v>
      </c>
    </row>
    <row r="142" spans="2:3" hidden="1" outlineLevel="1" x14ac:dyDescent="0.45">
      <c r="B142" s="82">
        <v>0.13</v>
      </c>
      <c r="C142" s="77" cm="1">
        <f t="array" aca="1" ref="C142" ca="1">IF(ISNUMBER(_xll.VoseSimPercentile(EV,0.13)),_xll.VoseSimPercentile(EV,0.13),NA())</f>
        <v>517.29732239280406</v>
      </c>
    </row>
    <row r="143" spans="2:3" hidden="1" outlineLevel="1" x14ac:dyDescent="0.45">
      <c r="B143" s="82">
        <v>0.14000000000000001</v>
      </c>
      <c r="C143" s="77" cm="1">
        <f t="array" aca="1" ref="C143" ca="1">IF(ISNUMBER(_xll.VoseSimPercentile(EV,0.14)),_xll.VoseSimPercentile(EV,0.14),NA())</f>
        <v>520.42058451810806</v>
      </c>
    </row>
    <row r="144" spans="2:3" hidden="1" outlineLevel="1" x14ac:dyDescent="0.45">
      <c r="B144" s="82">
        <v>0.15</v>
      </c>
      <c r="C144" s="77" cm="1">
        <f t="array" aca="1" ref="C144" ca="1">IF(ISNUMBER(_xll.VoseSimPercentile(EV,0.15)),_xll.VoseSimPercentile(EV,0.15),NA())</f>
        <v>523.86184139845636</v>
      </c>
    </row>
    <row r="145" spans="2:3" hidden="1" outlineLevel="1" x14ac:dyDescent="0.45">
      <c r="B145" s="82">
        <v>0.16</v>
      </c>
      <c r="C145" s="77" cm="1">
        <f t="array" aca="1" ref="C145" ca="1">IF(ISNUMBER(_xll.VoseSimPercentile(EV,0.16)),_xll.VoseSimPercentile(EV,0.16),NA())</f>
        <v>527.54067192427215</v>
      </c>
    </row>
    <row r="146" spans="2:3" hidden="1" outlineLevel="1" x14ac:dyDescent="0.45">
      <c r="B146" s="82">
        <v>0.17</v>
      </c>
      <c r="C146" s="77" cm="1">
        <f t="array" aca="1" ref="C146" ca="1">IF(ISNUMBER(_xll.VoseSimPercentile(EV,0.17)),_xll.VoseSimPercentile(EV,0.17),NA())</f>
        <v>530.58423413099024</v>
      </c>
    </row>
    <row r="147" spans="2:3" hidden="1" outlineLevel="1" x14ac:dyDescent="0.45">
      <c r="B147" s="82">
        <v>0.18</v>
      </c>
      <c r="C147" s="77" cm="1">
        <f t="array" aca="1" ref="C147" ca="1">IF(ISNUMBER(_xll.VoseSimPercentile(EV,0.18)),_xll.VoseSimPercentile(EV,0.18),NA())</f>
        <v>533.54524421514031</v>
      </c>
    </row>
    <row r="148" spans="2:3" hidden="1" outlineLevel="1" x14ac:dyDescent="0.45">
      <c r="B148" s="82">
        <v>0.19</v>
      </c>
      <c r="C148" s="77" cm="1">
        <f t="array" aca="1" ref="C148" ca="1">IF(ISNUMBER(_xll.VoseSimPercentile(EV,0.19)),_xll.VoseSimPercentile(EV,0.19),NA())</f>
        <v>536.53973492518276</v>
      </c>
    </row>
    <row r="149" spans="2:3" hidden="1" outlineLevel="1" x14ac:dyDescent="0.45">
      <c r="B149" s="82">
        <v>0.2</v>
      </c>
      <c r="C149" s="77" cm="1">
        <f t="array" aca="1" ref="C149" ca="1">IF(ISNUMBER(_xll.VoseSimPercentile(EV,0.2)),_xll.VoseSimPercentile(EV,0.2),NA())</f>
        <v>539.03167307761487</v>
      </c>
    </row>
    <row r="150" spans="2:3" hidden="1" outlineLevel="1" x14ac:dyDescent="0.45">
      <c r="B150" s="82">
        <v>0.21</v>
      </c>
      <c r="C150" s="77" cm="1">
        <f t="array" aca="1" ref="C150" ca="1">IF(ISNUMBER(_xll.VoseSimPercentile(EV,0.21)),_xll.VoseSimPercentile(EV,0.21),NA())</f>
        <v>541.99129076910322</v>
      </c>
    </row>
    <row r="151" spans="2:3" hidden="1" outlineLevel="1" x14ac:dyDescent="0.45">
      <c r="B151" s="82">
        <v>0.22</v>
      </c>
      <c r="C151" s="77" cm="1">
        <f t="array" aca="1" ref="C151" ca="1">IF(ISNUMBER(_xll.VoseSimPercentile(EV,0.22)),_xll.VoseSimPercentile(EV,0.22),NA())</f>
        <v>545.10012060448162</v>
      </c>
    </row>
    <row r="152" spans="2:3" hidden="1" outlineLevel="1" x14ac:dyDescent="0.45">
      <c r="B152" s="82">
        <v>0.23</v>
      </c>
      <c r="C152" s="77" cm="1">
        <f t="array" aca="1" ref="C152" ca="1">IF(ISNUMBER(_xll.VoseSimPercentile(EV,0.23)),_xll.VoseSimPercentile(EV,0.23),NA())</f>
        <v>547.92954218310751</v>
      </c>
    </row>
    <row r="153" spans="2:3" hidden="1" outlineLevel="1" x14ac:dyDescent="0.45">
      <c r="B153" s="82">
        <v>0.24</v>
      </c>
      <c r="C153" s="77" cm="1">
        <f t="array" aca="1" ref="C153" ca="1">IF(ISNUMBER(_xll.VoseSimPercentile(EV,0.24)),_xll.VoseSimPercentile(EV,0.24),NA())</f>
        <v>550.59776432694957</v>
      </c>
    </row>
    <row r="154" spans="2:3" hidden="1" outlineLevel="1" x14ac:dyDescent="0.45">
      <c r="B154" s="82">
        <v>0.25</v>
      </c>
      <c r="C154" s="77" cm="1">
        <f t="array" aca="1" ref="C154" ca="1">IF(ISNUMBER(_xll.VoseSimPercentile(EV,0.25)),_xll.VoseSimPercentile(EV,0.25),NA())</f>
        <v>553.60887440246859</v>
      </c>
    </row>
    <row r="155" spans="2:3" hidden="1" outlineLevel="1" x14ac:dyDescent="0.45">
      <c r="B155" s="82">
        <v>0.26</v>
      </c>
      <c r="C155" s="77" cm="1">
        <f t="array" aca="1" ref="C155" ca="1">IF(ISNUMBER(_xll.VoseSimPercentile(EV,0.26)),_xll.VoseSimPercentile(EV,0.26),NA())</f>
        <v>556.1255287389705</v>
      </c>
    </row>
    <row r="156" spans="2:3" hidden="1" outlineLevel="1" x14ac:dyDescent="0.45">
      <c r="B156" s="82">
        <v>0.27</v>
      </c>
      <c r="C156" s="77" cm="1">
        <f t="array" aca="1" ref="C156" ca="1">IF(ISNUMBER(_xll.VoseSimPercentile(EV,0.27)),_xll.VoseSimPercentile(EV,0.27),NA())</f>
        <v>558.66099456978009</v>
      </c>
    </row>
    <row r="157" spans="2:3" hidden="1" outlineLevel="1" x14ac:dyDescent="0.45">
      <c r="B157" s="82">
        <v>0.28000000000000003</v>
      </c>
      <c r="C157" s="77" cm="1">
        <f t="array" aca="1" ref="C157" ca="1">IF(ISNUMBER(_xll.VoseSimPercentile(EV,0.28)),_xll.VoseSimPercentile(EV,0.28),NA())</f>
        <v>561.41932187941961</v>
      </c>
    </row>
    <row r="158" spans="2:3" hidden="1" outlineLevel="1" x14ac:dyDescent="0.45">
      <c r="B158" s="82">
        <v>0.28999999999999998</v>
      </c>
      <c r="C158" s="77" cm="1">
        <f t="array" aca="1" ref="C158" ca="1">IF(ISNUMBER(_xll.VoseSimPercentile(EV,0.29)),_xll.VoseSimPercentile(EV,0.29),NA())</f>
        <v>564.31867697343091</v>
      </c>
    </row>
    <row r="159" spans="2:3" hidden="1" outlineLevel="1" x14ac:dyDescent="0.45">
      <c r="B159" s="82">
        <v>0.3</v>
      </c>
      <c r="C159" s="77" cm="1">
        <f t="array" aca="1" ref="C159" ca="1">IF(ISNUMBER(_xll.VoseSimPercentile(EV,0.3)),_xll.VoseSimPercentile(EV,0.3),NA())</f>
        <v>566.78412895367194</v>
      </c>
    </row>
    <row r="160" spans="2:3" hidden="1" outlineLevel="1" x14ac:dyDescent="0.45">
      <c r="B160" s="82">
        <v>0.31</v>
      </c>
      <c r="C160" s="77" cm="1">
        <f t="array" aca="1" ref="C160" ca="1">IF(ISNUMBER(_xll.VoseSimPercentile(EV,0.31)),_xll.VoseSimPercentile(EV,0.31),NA())</f>
        <v>569.4807117161597</v>
      </c>
    </row>
    <row r="161" spans="2:3" hidden="1" outlineLevel="1" x14ac:dyDescent="0.45">
      <c r="B161" s="82">
        <v>0.32</v>
      </c>
      <c r="C161" s="77" cm="1">
        <f t="array" aca="1" ref="C161" ca="1">IF(ISNUMBER(_xll.VoseSimPercentile(EV,0.32)),_xll.VoseSimPercentile(EV,0.32),NA())</f>
        <v>572.01703843964765</v>
      </c>
    </row>
    <row r="162" spans="2:3" hidden="1" outlineLevel="1" x14ac:dyDescent="0.45">
      <c r="B162" s="82">
        <v>0.33</v>
      </c>
      <c r="C162" s="77" cm="1">
        <f t="array" aca="1" ref="C162" ca="1">IF(ISNUMBER(_xll.VoseSimPercentile(EV,0.33)),_xll.VoseSimPercentile(EV,0.33),NA())</f>
        <v>574.40701826736358</v>
      </c>
    </row>
    <row r="163" spans="2:3" hidden="1" outlineLevel="1" x14ac:dyDescent="0.45">
      <c r="B163" s="82">
        <v>0.34</v>
      </c>
      <c r="C163" s="77" cm="1">
        <f t="array" aca="1" ref="C163" ca="1">IF(ISNUMBER(_xll.VoseSimPercentile(EV,0.34)),_xll.VoseSimPercentile(EV,0.34),NA())</f>
        <v>576.72495661132814</v>
      </c>
    </row>
    <row r="164" spans="2:3" hidden="1" outlineLevel="1" x14ac:dyDescent="0.45">
      <c r="B164" s="82">
        <v>0.35</v>
      </c>
      <c r="C164" s="77" cm="1">
        <f t="array" aca="1" ref="C164" ca="1">IF(ISNUMBER(_xll.VoseSimPercentile(EV,0.35)),_xll.VoseSimPercentile(EV,0.35),NA())</f>
        <v>578.86661974610138</v>
      </c>
    </row>
    <row r="165" spans="2:3" hidden="1" outlineLevel="1" x14ac:dyDescent="0.45">
      <c r="B165" s="82">
        <v>0.36</v>
      </c>
      <c r="C165" s="77" cm="1">
        <f t="array" aca="1" ref="C165" ca="1">IF(ISNUMBER(_xll.VoseSimPercentile(EV,0.36)),_xll.VoseSimPercentile(EV,0.36),NA())</f>
        <v>581.20867421992421</v>
      </c>
    </row>
    <row r="166" spans="2:3" hidden="1" outlineLevel="1" x14ac:dyDescent="0.45">
      <c r="B166" s="82">
        <v>0.37</v>
      </c>
      <c r="C166" s="77" cm="1">
        <f t="array" aca="1" ref="C166" ca="1">IF(ISNUMBER(_xll.VoseSimPercentile(EV,0.37)),_xll.VoseSimPercentile(EV,0.37),NA())</f>
        <v>583.588055448143</v>
      </c>
    </row>
    <row r="167" spans="2:3" hidden="1" outlineLevel="1" x14ac:dyDescent="0.45">
      <c r="B167" s="82">
        <v>0.38</v>
      </c>
      <c r="C167" s="77" cm="1">
        <f t="array" aca="1" ref="C167" ca="1">IF(ISNUMBER(_xll.VoseSimPercentile(EV,0.38)),_xll.VoseSimPercentile(EV,0.38),NA())</f>
        <v>585.98602676783116</v>
      </c>
    </row>
    <row r="168" spans="2:3" hidden="1" outlineLevel="1" x14ac:dyDescent="0.45">
      <c r="B168" s="82">
        <v>0.39</v>
      </c>
      <c r="C168" s="77" cm="1">
        <f t="array" aca="1" ref="C168" ca="1">IF(ISNUMBER(_xll.VoseSimPercentile(EV,0.39)),_xll.VoseSimPercentile(EV,0.39),NA())</f>
        <v>588.25269546076584</v>
      </c>
    </row>
    <row r="169" spans="2:3" hidden="1" outlineLevel="1" x14ac:dyDescent="0.45">
      <c r="B169" s="82">
        <v>0.4</v>
      </c>
      <c r="C169" s="77" cm="1">
        <f t="array" aca="1" ref="C169" ca="1">IF(ISNUMBER(_xll.VoseSimPercentile(EV,0.4)),_xll.VoseSimPercentile(EV,0.4),NA())</f>
        <v>590.25760342765079</v>
      </c>
    </row>
    <row r="170" spans="2:3" hidden="1" outlineLevel="1" x14ac:dyDescent="0.45">
      <c r="B170" s="82">
        <v>0.41</v>
      </c>
      <c r="C170" s="77" cm="1">
        <f t="array" aca="1" ref="C170" ca="1">IF(ISNUMBER(_xll.VoseSimPercentile(EV,0.41)),_xll.VoseSimPercentile(EV,0.41),NA())</f>
        <v>592.39361117050862</v>
      </c>
    </row>
    <row r="171" spans="2:3" hidden="1" outlineLevel="1" x14ac:dyDescent="0.45">
      <c r="B171" s="82">
        <v>0.42</v>
      </c>
      <c r="C171" s="77" cm="1">
        <f t="array" aca="1" ref="C171" ca="1">IF(ISNUMBER(_xll.VoseSimPercentile(EV,0.42)),_xll.VoseSimPercentile(EV,0.42),NA())</f>
        <v>594.41617172411725</v>
      </c>
    </row>
    <row r="172" spans="2:3" hidden="1" outlineLevel="1" x14ac:dyDescent="0.45">
      <c r="B172" s="82">
        <v>0.43</v>
      </c>
      <c r="C172" s="77" cm="1">
        <f t="array" aca="1" ref="C172" ca="1">IF(ISNUMBER(_xll.VoseSimPercentile(EV,0.43)),_xll.VoseSimPercentile(EV,0.43),NA())</f>
        <v>596.65381870088765</v>
      </c>
    </row>
    <row r="173" spans="2:3" hidden="1" outlineLevel="1" x14ac:dyDescent="0.45">
      <c r="B173" s="82">
        <v>0.44</v>
      </c>
      <c r="C173" s="77" cm="1">
        <f t="array" aca="1" ref="C173" ca="1">IF(ISNUMBER(_xll.VoseSimPercentile(EV,0.44)),_xll.VoseSimPercentile(EV,0.44),NA())</f>
        <v>599.28985943858197</v>
      </c>
    </row>
    <row r="174" spans="2:3" hidden="1" outlineLevel="1" x14ac:dyDescent="0.45">
      <c r="B174" s="82">
        <v>0.45</v>
      </c>
      <c r="C174" s="77" cm="1">
        <f t="array" aca="1" ref="C174" ca="1">IF(ISNUMBER(_xll.VoseSimPercentile(EV,0.45)),_xll.VoseSimPercentile(EV,0.45),NA())</f>
        <v>601.161743199885</v>
      </c>
    </row>
    <row r="175" spans="2:3" hidden="1" outlineLevel="1" x14ac:dyDescent="0.45">
      <c r="B175" s="82">
        <v>0.46</v>
      </c>
      <c r="C175" s="77" cm="1">
        <f t="array" aca="1" ref="C175" ca="1">IF(ISNUMBER(_xll.VoseSimPercentile(EV,0.46)),_xll.VoseSimPercentile(EV,0.46),NA())</f>
        <v>603.38349398874186</v>
      </c>
    </row>
    <row r="176" spans="2:3" hidden="1" outlineLevel="1" x14ac:dyDescent="0.45">
      <c r="B176" s="82">
        <v>0.47</v>
      </c>
      <c r="C176" s="77" cm="1">
        <f t="array" aca="1" ref="C176" ca="1">IF(ISNUMBER(_xll.VoseSimPercentile(EV,0.47)),_xll.VoseSimPercentile(EV,0.47),NA())</f>
        <v>605.322936047197</v>
      </c>
    </row>
    <row r="177" spans="2:3" hidden="1" outlineLevel="1" x14ac:dyDescent="0.45">
      <c r="B177" s="82">
        <v>0.48</v>
      </c>
      <c r="C177" s="77" cm="1">
        <f t="array" aca="1" ref="C177" ca="1">IF(ISNUMBER(_xll.VoseSimPercentile(EV,0.48)),_xll.VoseSimPercentile(EV,0.48),NA())</f>
        <v>607.35279105474183</v>
      </c>
    </row>
    <row r="178" spans="2:3" hidden="1" outlineLevel="1" x14ac:dyDescent="0.45">
      <c r="B178" s="82">
        <v>0.49</v>
      </c>
      <c r="C178" s="77" cm="1">
        <f t="array" aca="1" ref="C178" ca="1">IF(ISNUMBER(_xll.VoseSimPercentile(EV,0.49)),_xll.VoseSimPercentile(EV,0.49),NA())</f>
        <v>609.5428250363567</v>
      </c>
    </row>
    <row r="179" spans="2:3" hidden="1" outlineLevel="1" x14ac:dyDescent="0.45">
      <c r="B179" s="82">
        <v>0.5</v>
      </c>
      <c r="C179" s="77" cm="1">
        <f t="array" aca="1" ref="C179" ca="1">IF(ISNUMBER(_xll.VoseSimPercentile(EV,0.5)),_xll.VoseSimPercentile(EV,0.5),NA())</f>
        <v>611.76888741353014</v>
      </c>
    </row>
    <row r="180" spans="2:3" hidden="1" outlineLevel="1" x14ac:dyDescent="0.45">
      <c r="B180" s="82">
        <v>0.51</v>
      </c>
      <c r="C180" s="77" cm="1">
        <f t="array" aca="1" ref="C180" ca="1">IF(ISNUMBER(_xll.VoseSimPercentile(EV,0.51)),_xll.VoseSimPercentile(EV,0.51),NA())</f>
        <v>614.16185221386013</v>
      </c>
    </row>
    <row r="181" spans="2:3" hidden="1" outlineLevel="1" x14ac:dyDescent="0.45">
      <c r="B181" s="82">
        <v>0.52</v>
      </c>
      <c r="C181" s="77" cm="1">
        <f t="array" aca="1" ref="C181" ca="1">IF(ISNUMBER(_xll.VoseSimPercentile(EV,0.52)),_xll.VoseSimPercentile(EV,0.52),NA())</f>
        <v>616.39396015721923</v>
      </c>
    </row>
    <row r="182" spans="2:3" hidden="1" outlineLevel="1" x14ac:dyDescent="0.45">
      <c r="B182" s="82">
        <v>0.53</v>
      </c>
      <c r="C182" s="77" cm="1">
        <f t="array" aca="1" ref="C182" ca="1">IF(ISNUMBER(_xll.VoseSimPercentile(EV,0.53)),_xll.VoseSimPercentile(EV,0.53),NA())</f>
        <v>618.69470986146939</v>
      </c>
    </row>
    <row r="183" spans="2:3" hidden="1" outlineLevel="1" x14ac:dyDescent="0.45">
      <c r="B183" s="82">
        <v>0.54</v>
      </c>
      <c r="C183" s="77" cm="1">
        <f t="array" aca="1" ref="C183" ca="1">IF(ISNUMBER(_xll.VoseSimPercentile(EV,0.54)),_xll.VoseSimPercentile(EV,0.54),NA())</f>
        <v>621.16629849641856</v>
      </c>
    </row>
    <row r="184" spans="2:3" hidden="1" outlineLevel="1" x14ac:dyDescent="0.45">
      <c r="B184" s="82">
        <v>0.55000000000000004</v>
      </c>
      <c r="C184" s="77" cm="1">
        <f t="array" aca="1" ref="C184" ca="1">IF(ISNUMBER(_xll.VoseSimPercentile(EV,0.55)),_xll.VoseSimPercentile(EV,0.55),NA())</f>
        <v>623.38276508425793</v>
      </c>
    </row>
    <row r="185" spans="2:3" hidden="1" outlineLevel="1" x14ac:dyDescent="0.45">
      <c r="B185" s="82">
        <v>0.56000000000000005</v>
      </c>
      <c r="C185" s="77" cm="1">
        <f t="array" aca="1" ref="C185" ca="1">IF(ISNUMBER(_xll.VoseSimPercentile(EV,0.56)),_xll.VoseSimPercentile(EV,0.56),NA())</f>
        <v>625.65195201217875</v>
      </c>
    </row>
    <row r="186" spans="2:3" hidden="1" outlineLevel="1" x14ac:dyDescent="0.45">
      <c r="B186" s="82">
        <v>0.56999999999999995</v>
      </c>
      <c r="C186" s="77" cm="1">
        <f t="array" aca="1" ref="C186" ca="1">IF(ISNUMBER(_xll.VoseSimPercentile(EV,0.57)),_xll.VoseSimPercentile(EV,0.57),NA())</f>
        <v>628.00494612788304</v>
      </c>
    </row>
    <row r="187" spans="2:3" hidden="1" outlineLevel="1" x14ac:dyDescent="0.45">
      <c r="B187" s="82">
        <v>0.57999999999999996</v>
      </c>
      <c r="C187" s="77" cm="1">
        <f t="array" aca="1" ref="C187" ca="1">IF(ISNUMBER(_xll.VoseSimPercentile(EV,0.58)),_xll.VoseSimPercentile(EV,0.58),NA())</f>
        <v>630.44644752108513</v>
      </c>
    </row>
    <row r="188" spans="2:3" hidden="1" outlineLevel="1" x14ac:dyDescent="0.45">
      <c r="B188" s="82">
        <v>0.59</v>
      </c>
      <c r="C188" s="77" cm="1">
        <f t="array" aca="1" ref="C188" ca="1">IF(ISNUMBER(_xll.VoseSimPercentile(EV,0.59)),_xll.VoseSimPercentile(EV,0.59),NA())</f>
        <v>632.76830400264862</v>
      </c>
    </row>
    <row r="189" spans="2:3" hidden="1" outlineLevel="1" x14ac:dyDescent="0.45">
      <c r="B189" s="82">
        <v>0.6</v>
      </c>
      <c r="C189" s="77" cm="1">
        <f t="array" aca="1" ref="C189" ca="1">IF(ISNUMBER(_xll.VoseSimPercentile(EV,0.6)),_xll.VoseSimPercentile(EV,0.6),NA())</f>
        <v>635.21297663168434</v>
      </c>
    </row>
    <row r="190" spans="2:3" hidden="1" outlineLevel="1" x14ac:dyDescent="0.45">
      <c r="B190" s="82">
        <v>0.61</v>
      </c>
      <c r="C190" s="77" cm="1">
        <f t="array" aca="1" ref="C190" ca="1">IF(ISNUMBER(_xll.VoseSimPercentile(EV,0.61)),_xll.VoseSimPercentile(EV,0.61),NA())</f>
        <v>637.33139769966078</v>
      </c>
    </row>
    <row r="191" spans="2:3" hidden="1" outlineLevel="1" x14ac:dyDescent="0.45">
      <c r="B191" s="82">
        <v>0.62</v>
      </c>
      <c r="C191" s="77" cm="1">
        <f t="array" aca="1" ref="C191" ca="1">IF(ISNUMBER(_xll.VoseSimPercentile(EV,0.62)),_xll.VoseSimPercentile(EV,0.62),NA())</f>
        <v>639.8898967317283</v>
      </c>
    </row>
    <row r="192" spans="2:3" hidden="1" outlineLevel="1" x14ac:dyDescent="0.45">
      <c r="B192" s="82">
        <v>0.63</v>
      </c>
      <c r="C192" s="77" cm="1">
        <f t="array" aca="1" ref="C192" ca="1">IF(ISNUMBER(_xll.VoseSimPercentile(EV,0.63)),_xll.VoseSimPercentile(EV,0.63),NA())</f>
        <v>642.18633261751415</v>
      </c>
    </row>
    <row r="193" spans="2:3" hidden="1" outlineLevel="1" x14ac:dyDescent="0.45">
      <c r="B193" s="82">
        <v>0.64</v>
      </c>
      <c r="C193" s="77" cm="1">
        <f t="array" aca="1" ref="C193" ca="1">IF(ISNUMBER(_xll.VoseSimPercentile(EV,0.64)),_xll.VoseSimPercentile(EV,0.64),NA())</f>
        <v>644.55820406371265</v>
      </c>
    </row>
    <row r="194" spans="2:3" hidden="1" outlineLevel="1" x14ac:dyDescent="0.45">
      <c r="B194" s="82">
        <v>0.65</v>
      </c>
      <c r="C194" s="77" cm="1">
        <f t="array" aca="1" ref="C194" ca="1">IF(ISNUMBER(_xll.VoseSimPercentile(EV,0.65)),_xll.VoseSimPercentile(EV,0.65),NA())</f>
        <v>646.86470706141688</v>
      </c>
    </row>
    <row r="195" spans="2:3" hidden="1" outlineLevel="1" x14ac:dyDescent="0.45">
      <c r="B195" s="82">
        <v>0.66</v>
      </c>
      <c r="C195" s="77" cm="1">
        <f t="array" aca="1" ref="C195" ca="1">IF(ISNUMBER(_xll.VoseSimPercentile(EV,0.66)),_xll.VoseSimPercentile(EV,0.66),NA())</f>
        <v>648.90313478831808</v>
      </c>
    </row>
    <row r="196" spans="2:3" hidden="1" outlineLevel="1" x14ac:dyDescent="0.45">
      <c r="B196" s="82">
        <v>0.67</v>
      </c>
      <c r="C196" s="77" cm="1">
        <f t="array" aca="1" ref="C196" ca="1">IF(ISNUMBER(_xll.VoseSimPercentile(EV,0.67)),_xll.VoseSimPercentile(EV,0.67),NA())</f>
        <v>651.7625213087756</v>
      </c>
    </row>
    <row r="197" spans="2:3" hidden="1" outlineLevel="1" x14ac:dyDescent="0.45">
      <c r="B197" s="82">
        <v>0.68</v>
      </c>
      <c r="C197" s="77" cm="1">
        <f t="array" aca="1" ref="C197" ca="1">IF(ISNUMBER(_xll.VoseSimPercentile(EV,0.68)),_xll.VoseSimPercentile(EV,0.68),NA())</f>
        <v>654.31480206129504</v>
      </c>
    </row>
    <row r="198" spans="2:3" hidden="1" outlineLevel="1" x14ac:dyDescent="0.45">
      <c r="B198" s="82">
        <v>0.69</v>
      </c>
      <c r="C198" s="77" cm="1">
        <f t="array" aca="1" ref="C198" ca="1">IF(ISNUMBER(_xll.VoseSimPercentile(EV,0.69)),_xll.VoseSimPercentile(EV,0.69),NA())</f>
        <v>657.04490465796857</v>
      </c>
    </row>
    <row r="199" spans="2:3" hidden="1" outlineLevel="1" x14ac:dyDescent="0.45">
      <c r="B199" s="82">
        <v>0.7</v>
      </c>
      <c r="C199" s="77" cm="1">
        <f t="array" aca="1" ref="C199" ca="1">IF(ISNUMBER(_xll.VoseSimPercentile(EV,0.7)),_xll.VoseSimPercentile(EV,0.7),NA())</f>
        <v>659.78420617039046</v>
      </c>
    </row>
    <row r="200" spans="2:3" hidden="1" outlineLevel="1" x14ac:dyDescent="0.45">
      <c r="B200" s="82">
        <v>0.71</v>
      </c>
      <c r="C200" s="77" cm="1">
        <f t="array" aca="1" ref="C200" ca="1">IF(ISNUMBER(_xll.VoseSimPercentile(EV,0.71)),_xll.VoseSimPercentile(EV,0.71),NA())</f>
        <v>662.27558425382676</v>
      </c>
    </row>
    <row r="201" spans="2:3" hidden="1" outlineLevel="1" x14ac:dyDescent="0.45">
      <c r="B201" s="82">
        <v>0.72</v>
      </c>
      <c r="C201" s="77" cm="1">
        <f t="array" aca="1" ref="C201" ca="1">IF(ISNUMBER(_xll.VoseSimPercentile(EV,0.72)),_xll.VoseSimPercentile(EV,0.72),NA())</f>
        <v>664.7006771319119</v>
      </c>
    </row>
    <row r="202" spans="2:3" hidden="1" outlineLevel="1" x14ac:dyDescent="0.45">
      <c r="B202" s="82">
        <v>0.73</v>
      </c>
      <c r="C202" s="77" cm="1">
        <f t="array" aca="1" ref="C202" ca="1">IF(ISNUMBER(_xll.VoseSimPercentile(EV,0.73)),_xll.VoseSimPercentile(EV,0.73),NA())</f>
        <v>667.20418303103986</v>
      </c>
    </row>
    <row r="203" spans="2:3" hidden="1" outlineLevel="1" x14ac:dyDescent="0.45">
      <c r="B203" s="82">
        <v>0.74</v>
      </c>
      <c r="C203" s="77" cm="1">
        <f t="array" aca="1" ref="C203" ca="1">IF(ISNUMBER(_xll.VoseSimPercentile(EV,0.74)),_xll.VoseSimPercentile(EV,0.74),NA())</f>
        <v>669.80194735414716</v>
      </c>
    </row>
    <row r="204" spans="2:3" hidden="1" outlineLevel="1" x14ac:dyDescent="0.45">
      <c r="B204" s="82">
        <v>0.75</v>
      </c>
      <c r="C204" s="77" cm="1">
        <f t="array" aca="1" ref="C204" ca="1">IF(ISNUMBER(_xll.VoseSimPercentile(EV,0.75)),_xll.VoseSimPercentile(EV,0.75),NA())</f>
        <v>672.54664407792131</v>
      </c>
    </row>
    <row r="205" spans="2:3" hidden="1" outlineLevel="1" x14ac:dyDescent="0.45">
      <c r="B205" s="82">
        <v>0.76</v>
      </c>
      <c r="C205" s="77" cm="1">
        <f t="array" aca="1" ref="C205" ca="1">IF(ISNUMBER(_xll.VoseSimPercentile(EV,0.76)),_xll.VoseSimPercentile(EV,0.76),NA())</f>
        <v>675.88819934496757</v>
      </c>
    </row>
    <row r="206" spans="2:3" hidden="1" outlineLevel="1" x14ac:dyDescent="0.45">
      <c r="B206" s="82">
        <v>0.77</v>
      </c>
      <c r="C206" s="77" cm="1">
        <f t="array" aca="1" ref="C206" ca="1">IF(ISNUMBER(_xll.VoseSimPercentile(EV,0.77)),_xll.VoseSimPercentile(EV,0.77),NA())</f>
        <v>678.85172837576829</v>
      </c>
    </row>
    <row r="207" spans="2:3" hidden="1" outlineLevel="1" x14ac:dyDescent="0.45">
      <c r="B207" s="82">
        <v>0.78</v>
      </c>
      <c r="C207" s="77" cm="1">
        <f t="array" aca="1" ref="C207" ca="1">IF(ISNUMBER(_xll.VoseSimPercentile(EV,0.78)),_xll.VoseSimPercentile(EV,0.78),NA())</f>
        <v>682.41975079885435</v>
      </c>
    </row>
    <row r="208" spans="2:3" hidden="1" outlineLevel="1" x14ac:dyDescent="0.45">
      <c r="B208" s="82">
        <v>0.79</v>
      </c>
      <c r="C208" s="77" cm="1">
        <f t="array" aca="1" ref="C208" ca="1">IF(ISNUMBER(_xll.VoseSimPercentile(EV,0.79)),_xll.VoseSimPercentile(EV,0.79),NA())</f>
        <v>685.72259802140798</v>
      </c>
    </row>
    <row r="209" spans="2:3" hidden="1" outlineLevel="1" x14ac:dyDescent="0.45">
      <c r="B209" s="82">
        <v>0.8</v>
      </c>
      <c r="C209" s="77" cm="1">
        <f t="array" aca="1" ref="C209" ca="1">IF(ISNUMBER(_xll.VoseSimPercentile(EV,0.8)),_xll.VoseSimPercentile(EV,0.8),NA())</f>
        <v>688.30556680554832</v>
      </c>
    </row>
    <row r="210" spans="2:3" hidden="1" outlineLevel="1" x14ac:dyDescent="0.45">
      <c r="B210" s="82">
        <v>0.81</v>
      </c>
      <c r="C210" s="77" cm="1">
        <f t="array" aca="1" ref="C210" ca="1">IF(ISNUMBER(_xll.VoseSimPercentile(EV,0.81)),_xll.VoseSimPercentile(EV,0.81),NA())</f>
        <v>691.50305828480998</v>
      </c>
    </row>
    <row r="211" spans="2:3" hidden="1" outlineLevel="1" x14ac:dyDescent="0.45">
      <c r="B211" s="82">
        <v>0.82</v>
      </c>
      <c r="C211" s="77" cm="1">
        <f t="array" aca="1" ref="C211" ca="1">IF(ISNUMBER(_xll.VoseSimPercentile(EV,0.82)),_xll.VoseSimPercentile(EV,0.82),NA())</f>
        <v>695.31252279892976</v>
      </c>
    </row>
    <row r="212" spans="2:3" hidden="1" outlineLevel="1" x14ac:dyDescent="0.45">
      <c r="B212" s="82">
        <v>0.83</v>
      </c>
      <c r="C212" s="77" cm="1">
        <f t="array" aca="1" ref="C212" ca="1">IF(ISNUMBER(_xll.VoseSimPercentile(EV,0.83)),_xll.VoseSimPercentile(EV,0.83),NA())</f>
        <v>699.51640540835706</v>
      </c>
    </row>
    <row r="213" spans="2:3" hidden="1" outlineLevel="1" x14ac:dyDescent="0.45">
      <c r="B213" s="82">
        <v>0.84</v>
      </c>
      <c r="C213" s="77" cm="1">
        <f t="array" aca="1" ref="C213" ca="1">IF(ISNUMBER(_xll.VoseSimPercentile(EV,0.84)),_xll.VoseSimPercentile(EV,0.84),NA())</f>
        <v>703.73170250911107</v>
      </c>
    </row>
    <row r="214" spans="2:3" hidden="1" outlineLevel="1" x14ac:dyDescent="0.45">
      <c r="B214" s="82">
        <v>0.85</v>
      </c>
      <c r="C214" s="77" cm="1">
        <f t="array" aca="1" ref="C214" ca="1">IF(ISNUMBER(_xll.VoseSimPercentile(EV,0.85)),_xll.VoseSimPercentile(EV,0.85),NA())</f>
        <v>707.90359184696752</v>
      </c>
    </row>
    <row r="215" spans="2:3" hidden="1" outlineLevel="1" x14ac:dyDescent="0.45">
      <c r="B215" s="82">
        <v>0.86</v>
      </c>
      <c r="C215" s="77" cm="1">
        <f t="array" aca="1" ref="C215" ca="1">IF(ISNUMBER(_xll.VoseSimPercentile(EV,0.86)),_xll.VoseSimPercentile(EV,0.86),NA())</f>
        <v>712.17315246959356</v>
      </c>
    </row>
    <row r="216" spans="2:3" hidden="1" outlineLevel="1" x14ac:dyDescent="0.45">
      <c r="B216" s="82">
        <v>0.87</v>
      </c>
      <c r="C216" s="77" cm="1">
        <f t="array" aca="1" ref="C216" ca="1">IF(ISNUMBER(_xll.VoseSimPercentile(EV,0.87)),_xll.VoseSimPercentile(EV,0.87),NA())</f>
        <v>716.39510609673357</v>
      </c>
    </row>
    <row r="217" spans="2:3" hidden="1" outlineLevel="1" x14ac:dyDescent="0.45">
      <c r="B217" s="82">
        <v>0.88</v>
      </c>
      <c r="C217" s="77" cm="1">
        <f t="array" aca="1" ref="C217" ca="1">IF(ISNUMBER(_xll.VoseSimPercentile(EV,0.88)),_xll.VoseSimPercentile(EV,0.88),NA())</f>
        <v>721.55101945645242</v>
      </c>
    </row>
    <row r="218" spans="2:3" hidden="1" outlineLevel="1" x14ac:dyDescent="0.45">
      <c r="B218" s="82">
        <v>0.89</v>
      </c>
      <c r="C218" s="77" cm="1">
        <f t="array" aca="1" ref="C218" ca="1">IF(ISNUMBER(_xll.VoseSimPercentile(EV,0.89)),_xll.VoseSimPercentile(EV,0.89),NA())</f>
        <v>726.53828408742629</v>
      </c>
    </row>
    <row r="219" spans="2:3" hidden="1" outlineLevel="1" x14ac:dyDescent="0.45">
      <c r="B219" s="82">
        <v>0.9</v>
      </c>
      <c r="C219" s="77" cm="1">
        <f t="array" aca="1" ref="C219" ca="1">IF(ISNUMBER(_xll.VoseSimPercentile(EV,0.9)),_xll.VoseSimPercentile(EV,0.9),NA())</f>
        <v>731.91587135529494</v>
      </c>
    </row>
    <row r="220" spans="2:3" hidden="1" outlineLevel="1" x14ac:dyDescent="0.45">
      <c r="B220" s="82">
        <v>0.91</v>
      </c>
      <c r="C220" s="77" cm="1">
        <f t="array" aca="1" ref="C220" ca="1">IF(ISNUMBER(_xll.VoseSimPercentile(EV,0.91)),_xll.VoseSimPercentile(EV,0.91),NA())</f>
        <v>736.69974776045535</v>
      </c>
    </row>
    <row r="221" spans="2:3" hidden="1" outlineLevel="1" x14ac:dyDescent="0.45">
      <c r="B221" s="82">
        <v>0.92</v>
      </c>
      <c r="C221" s="77" cm="1">
        <f t="array" aca="1" ref="C221" ca="1">IF(ISNUMBER(_xll.VoseSimPercentile(EV,0.92)),_xll.VoseSimPercentile(EV,0.92),NA())</f>
        <v>742.76046214559608</v>
      </c>
    </row>
    <row r="222" spans="2:3" hidden="1" outlineLevel="1" x14ac:dyDescent="0.45">
      <c r="B222" s="82">
        <v>0.93</v>
      </c>
      <c r="C222" s="77" cm="1">
        <f t="array" aca="1" ref="C222" ca="1">IF(ISNUMBER(_xll.VoseSimPercentile(EV,0.93)),_xll.VoseSimPercentile(EV,0.93),NA())</f>
        <v>750.73728494432169</v>
      </c>
    </row>
    <row r="223" spans="2:3" hidden="1" outlineLevel="1" x14ac:dyDescent="0.45">
      <c r="B223" s="82">
        <v>0.94</v>
      </c>
      <c r="C223" s="77" cm="1">
        <f t="array" aca="1" ref="C223" ca="1">IF(ISNUMBER(_xll.VoseSimPercentile(EV,0.94)),_xll.VoseSimPercentile(EV,0.94),NA())</f>
        <v>759.45268172993838</v>
      </c>
    </row>
    <row r="224" spans="2:3" hidden="1" outlineLevel="1" x14ac:dyDescent="0.45">
      <c r="B224" s="82">
        <v>0.95</v>
      </c>
      <c r="C224" s="77" cm="1">
        <f t="array" aca="1" ref="C224" ca="1">IF(ISNUMBER(_xll.VoseSimPercentile(EV,0.95)),_xll.VoseSimPercentile(EV,0.95),NA())</f>
        <v>768.38123108052287</v>
      </c>
    </row>
    <row r="225" spans="2:7" hidden="1" outlineLevel="1" x14ac:dyDescent="0.45">
      <c r="B225" s="82">
        <v>0.96</v>
      </c>
      <c r="C225" s="77" cm="1">
        <f t="array" aca="1" ref="C225" ca="1">IF(ISNUMBER(_xll.VoseSimPercentile(EV,0.96)),_xll.VoseSimPercentile(EV,0.96),NA())</f>
        <v>779.70930381004337</v>
      </c>
    </row>
    <row r="226" spans="2:7" hidden="1" outlineLevel="1" x14ac:dyDescent="0.45">
      <c r="B226" s="82">
        <v>0.97</v>
      </c>
      <c r="C226" s="77" cm="1">
        <f t="array" aca="1" ref="C226" ca="1">IF(ISNUMBER(_xll.VoseSimPercentile(EV,0.97)),_xll.VoseSimPercentile(EV,0.97),NA())</f>
        <v>791.72494053627202</v>
      </c>
    </row>
    <row r="227" spans="2:7" hidden="1" outlineLevel="1" x14ac:dyDescent="0.45">
      <c r="B227" s="82">
        <v>0.98</v>
      </c>
      <c r="C227" s="77" cm="1">
        <f t="array" aca="1" ref="C227" ca="1">IF(ISNUMBER(_xll.VoseSimPercentile(EV,0.98)),_xll.VoseSimPercentile(EV,0.98),NA())</f>
        <v>810.63636429256439</v>
      </c>
    </row>
    <row r="228" spans="2:7" hidden="1" outlineLevel="1" x14ac:dyDescent="0.45">
      <c r="B228" s="82">
        <v>0.99</v>
      </c>
      <c r="C228" s="77" cm="1">
        <f t="array" aca="1" ref="C228" ca="1">IF(ISNUMBER(_xll.VoseSimPercentile(EV,0.99)),_xll.VoseSimPercentile(EV,0.99),NA())</f>
        <v>842.16687266066992</v>
      </c>
    </row>
    <row r="229" spans="2:7" hidden="1" outlineLevel="1" x14ac:dyDescent="0.45">
      <c r="B229" s="82">
        <v>0.995</v>
      </c>
      <c r="C229" s="77" cm="1">
        <f t="array" aca="1" ref="C229" ca="1">IF(ISNUMBER(_xll.VoseSimPercentile(EV,0.995)),_xll.VoseSimPercentile(EV,0.995),NA())</f>
        <v>865.07527646371727</v>
      </c>
    </row>
    <row r="230" spans="2:7" hidden="1" outlineLevel="1" x14ac:dyDescent="0.45"/>
    <row r="231" spans="2:7" ht="18" hidden="1" customHeight="1" outlineLevel="1" x14ac:dyDescent="0.45">
      <c r="B231" s="23" t="s">
        <v>250</v>
      </c>
      <c r="C231" s="24" t="s">
        <v>251</v>
      </c>
      <c r="D231" s="24" t="s">
        <v>252</v>
      </c>
      <c r="E231" s="24" t="s">
        <v>253</v>
      </c>
      <c r="F231" s="24" t="s">
        <v>254</v>
      </c>
      <c r="G231" s="24" t="s">
        <v>255</v>
      </c>
    </row>
    <row r="232" spans="2:7" hidden="1" outlineLevel="1" x14ac:dyDescent="0.45">
      <c r="B232" s="83">
        <v>0</v>
      </c>
      <c r="C232" s="77">
        <f ca="1">IF(ISNUMBER($C$129),$C$129+($C$229-$C$129)*0/24,NA())</f>
        <v>420.35959223438635</v>
      </c>
      <c r="D232" s="84">
        <f t="shared" ref="D232:D256" ca="1" si="2">IF(ISNUMBER(C232),MATCH(C232,$C$129:$C$229,1),NA())</f>
        <v>1</v>
      </c>
      <c r="E232" s="77">
        <f t="shared" ref="E232:E255" ca="1" si="3">IF(ISNUMBER(C232),(C232+C233)/2,NA())</f>
        <v>429.62450232249739</v>
      </c>
      <c r="F232" s="82">
        <f t="shared" ref="F232:F255" ca="1" si="4">IF(ISNUMBER(G233),G233-G232,NA())</f>
        <v>6.8078878420198023E-3</v>
      </c>
      <c r="G232" s="82" cm="1">
        <f t="array" aca="1" ref="G232" ca="1">IF(ISNUMBER(D232),IF(D232&gt;=101,INDEX($B$129:$B$229,101),INDEX($B$129:$B$229,D232)+(C232-INDEX($C$129:$C$229,D232))/MAX(0.000000000001,INDEX($C$129:$C$229,D232+1)-INDEX($C$129:$C$229,D232))*(INDEX($B$129:$B$229,D232+1)-INDEX($B$129:$B$229,D232))),NA())</f>
        <v>5.0000000000000001E-3</v>
      </c>
    </row>
    <row r="233" spans="2:7" hidden="1" outlineLevel="1" x14ac:dyDescent="0.45">
      <c r="B233" s="83">
        <v>1</v>
      </c>
      <c r="C233" s="77">
        <f ca="1">IF(ISNUMBER($C$129),$C$129+($C$229-$C$129)*1/24,NA())</f>
        <v>438.88941241060849</v>
      </c>
      <c r="D233" s="84">
        <f t="shared" ca="1" si="2"/>
        <v>2</v>
      </c>
      <c r="E233" s="77">
        <f t="shared" ca="1" si="3"/>
        <v>448.15432249871958</v>
      </c>
      <c r="F233" s="82">
        <f t="shared" ca="1" si="4"/>
        <v>1.3192410607950128E-2</v>
      </c>
      <c r="G233" s="82" cm="1">
        <f t="array" aca="1" ref="G233" ca="1">IF(ISNUMBER(D233),IF(D233&gt;=101,INDEX($B$129:$B$229,101),INDEX($B$129:$B$229,D233)+(C233-INDEX($C$129:$C$229,D233))/MAX(0.000000000001,INDEX($C$129:$C$229,D233+1)-INDEX($C$129:$C$229,D233))*(INDEX($B$129:$B$229,D233+1)-INDEX($B$129:$B$229,D233))),NA())</f>
        <v>1.1807887842019802E-2</v>
      </c>
    </row>
    <row r="234" spans="2:7" hidden="1" outlineLevel="1" x14ac:dyDescent="0.45">
      <c r="B234" s="83">
        <v>2</v>
      </c>
      <c r="C234" s="77">
        <f ca="1">IF(ISNUMBER($C$129),$C$129+($C$229-$C$129)*2/24,NA())</f>
        <v>457.41923258683062</v>
      </c>
      <c r="D234" s="84">
        <f t="shared" ca="1" si="2"/>
        <v>3</v>
      </c>
      <c r="E234" s="77">
        <f t="shared" ca="1" si="3"/>
        <v>466.68414267494165</v>
      </c>
      <c r="F234" s="82">
        <f t="shared" ca="1" si="4"/>
        <v>2.0078329946935532E-2</v>
      </c>
      <c r="G234" s="82" cm="1">
        <f t="array" aca="1" ref="G234" ca="1">IF(ISNUMBER(D234),IF(D234&gt;=101,INDEX($B$129:$B$229,101),INDEX($B$129:$B$229,D234)+(C234-INDEX($C$129:$C$229,D234))/MAX(0.000000000001,INDEX($C$129:$C$229,D234+1)-INDEX($C$129:$C$229,D234))*(INDEX($B$129:$B$229,D234+1)-INDEX($B$129:$B$229,D234))),NA())</f>
        <v>2.500029844996993E-2</v>
      </c>
    </row>
    <row r="235" spans="2:7" hidden="1" outlineLevel="1" x14ac:dyDescent="0.45">
      <c r="B235" s="83">
        <v>3</v>
      </c>
      <c r="C235" s="77">
        <f ca="1">IF(ISNUMBER($C$129),$C$129+($C$229-$C$129)*3/24,NA())</f>
        <v>475.94905276305269</v>
      </c>
      <c r="D235" s="84">
        <f t="shared" ca="1" si="2"/>
        <v>5</v>
      </c>
      <c r="E235" s="77">
        <f t="shared" ca="1" si="3"/>
        <v>485.21396285116373</v>
      </c>
      <c r="F235" s="82">
        <f t="shared" ca="1" si="4"/>
        <v>3.0287356883241259E-2</v>
      </c>
      <c r="G235" s="82" cm="1">
        <f t="array" aca="1" ref="G235" ca="1">IF(ISNUMBER(D235),IF(D235&gt;=101,INDEX($B$129:$B$229,101),INDEX($B$129:$B$229,D235)+(C235-INDEX($C$129:$C$229,D235))/MAX(0.000000000001,INDEX($C$129:$C$229,D235+1)-INDEX($C$129:$C$229,D235))*(INDEX($B$129:$B$229,D235+1)-INDEX($B$129:$B$229,D235))),NA())</f>
        <v>4.5078628396905462E-2</v>
      </c>
    </row>
    <row r="236" spans="2:7" hidden="1" outlineLevel="1" x14ac:dyDescent="0.45">
      <c r="B236" s="83">
        <v>4</v>
      </c>
      <c r="C236" s="77">
        <f ca="1">IF(ISNUMBER($C$129),$C$129+($C$229-$C$129)*4/24,NA())</f>
        <v>494.47887293927482</v>
      </c>
      <c r="D236" s="84">
        <f t="shared" ca="1" si="2"/>
        <v>8</v>
      </c>
      <c r="E236" s="77">
        <f t="shared" ca="1" si="3"/>
        <v>503.74378302738592</v>
      </c>
      <c r="F236" s="82">
        <f t="shared" ca="1" si="4"/>
        <v>4.4875613036514092E-2</v>
      </c>
      <c r="G236" s="82" cm="1">
        <f t="array" aca="1" ref="G236" ca="1">IF(ISNUMBER(D236),IF(D236&gt;=101,INDEX($B$129:$B$229,101),INDEX($B$129:$B$229,D236)+(C236-INDEX($C$129:$C$229,D236))/MAX(0.000000000001,INDEX($C$129:$C$229,D236+1)-INDEX($C$129:$C$229,D236))*(INDEX($B$129:$B$229,D236+1)-INDEX($B$129:$B$229,D236))),NA())</f>
        <v>7.5365985280146722E-2</v>
      </c>
    </row>
    <row r="237" spans="2:7" hidden="1" outlineLevel="1" x14ac:dyDescent="0.45">
      <c r="B237" s="83">
        <v>5</v>
      </c>
      <c r="C237" s="77">
        <f ca="1">IF(ISNUMBER($C$129),$C$129+($C$229-$C$129)*5/24,NA())</f>
        <v>513.00869311549695</v>
      </c>
      <c r="D237" s="84">
        <f t="shared" ca="1" si="2"/>
        <v>13</v>
      </c>
      <c r="E237" s="77">
        <f t="shared" ca="1" si="3"/>
        <v>522.27360320360799</v>
      </c>
      <c r="F237" s="82">
        <f t="shared" ca="1" si="4"/>
        <v>5.2981217998072233E-2</v>
      </c>
      <c r="G237" s="82" cm="1">
        <f t="array" aca="1" ref="G237" ca="1">IF(ISNUMBER(D237),IF(D237&gt;=101,INDEX($B$129:$B$229,101),INDEX($B$129:$B$229,D237)+(C237-INDEX($C$129:$C$229,D237))/MAX(0.000000000001,INDEX($C$129:$C$229,D237+1)-INDEX($C$129:$C$229,D237))*(INDEX($B$129:$B$229,D237+1)-INDEX($B$129:$B$229,D237))),NA())</f>
        <v>0.12024159831666081</v>
      </c>
    </row>
    <row r="238" spans="2:7" hidden="1" outlineLevel="1" x14ac:dyDescent="0.45">
      <c r="B238" s="83">
        <v>6</v>
      </c>
      <c r="C238" s="77">
        <f ca="1">IF(ISNUMBER($C$129),$C$129+($C$229-$C$129)*6/24,NA())</f>
        <v>531.53851329171903</v>
      </c>
      <c r="D238" s="84">
        <f t="shared" ca="1" si="2"/>
        <v>18</v>
      </c>
      <c r="E238" s="77">
        <f t="shared" ca="1" si="3"/>
        <v>540.80342337983006</v>
      </c>
      <c r="F238" s="82">
        <f t="shared" ca="1" si="4"/>
        <v>6.4792975360520755E-2</v>
      </c>
      <c r="G238" s="82" cm="1">
        <f t="array" aca="1" ref="G238" ca="1">IF(ISNUMBER(D238),IF(D238&gt;=101,INDEX($B$129:$B$229,101),INDEX($B$129:$B$229,D238)+(C238-INDEX($C$129:$C$229,D238))/MAX(0.000000000001,INDEX($C$129:$C$229,D238+1)-INDEX($C$129:$C$229,D238))*(INDEX($B$129:$B$229,D238+1)-INDEX($B$129:$B$229,D238))),NA())</f>
        <v>0.17322281631473305</v>
      </c>
    </row>
    <row r="239" spans="2:7" hidden="1" outlineLevel="1" x14ac:dyDescent="0.45">
      <c r="B239" s="83">
        <v>7</v>
      </c>
      <c r="C239" s="77">
        <f ca="1">IF(ISNUMBER($C$129),$C$129+($C$229-$C$129)*7/24,NA())</f>
        <v>550.06833346794122</v>
      </c>
      <c r="D239" s="84">
        <f t="shared" ca="1" si="2"/>
        <v>24</v>
      </c>
      <c r="E239" s="77">
        <f t="shared" ca="1" si="3"/>
        <v>559.33324355605225</v>
      </c>
      <c r="F239" s="82">
        <f t="shared" ca="1" si="4"/>
        <v>6.8711332430582278E-2</v>
      </c>
      <c r="G239" s="82" cm="1">
        <f t="array" aca="1" ref="G239" ca="1">IF(ISNUMBER(D239),IF(D239&gt;=101,INDEX($B$129:$B$229,101),INDEX($B$129:$B$229,D239)+(C239-INDEX($C$129:$C$229,D239))/MAX(0.000000000001,INDEX($C$129:$C$229,D239+1)-INDEX($C$129:$C$229,D239))*(INDEX($B$129:$B$229,D239+1)-INDEX($B$129:$B$229,D239))),NA())</f>
        <v>0.2380157916752538</v>
      </c>
    </row>
    <row r="240" spans="2:7" hidden="1" outlineLevel="1" x14ac:dyDescent="0.45">
      <c r="B240" s="83">
        <v>8</v>
      </c>
      <c r="C240" s="77">
        <f ca="1">IF(ISNUMBER($C$129),$C$129+($C$229-$C$129)*8/24,NA())</f>
        <v>568.59815364416329</v>
      </c>
      <c r="D240" s="84">
        <f t="shared" ca="1" si="2"/>
        <v>31</v>
      </c>
      <c r="E240" s="77">
        <f t="shared" ca="1" si="3"/>
        <v>577.86306373227444</v>
      </c>
      <c r="F240" s="82">
        <f t="shared" ca="1" si="4"/>
        <v>7.8310873092933331E-2</v>
      </c>
      <c r="G240" s="82" cm="1">
        <f t="array" aca="1" ref="G240" ca="1">IF(ISNUMBER(D240),IF(D240&gt;=101,INDEX($B$129:$B$229,101),INDEX($B$129:$B$229,D240)+(C240-INDEX($C$129:$C$229,D240))/MAX(0.000000000001,INDEX($C$129:$C$229,D240+1)-INDEX($C$129:$C$229,D240))*(INDEX($B$129:$B$229,D240+1)-INDEX($B$129:$B$229,D240))),NA())</f>
        <v>0.30672712410583608</v>
      </c>
    </row>
    <row r="241" spans="2:7" hidden="1" outlineLevel="1" x14ac:dyDescent="0.45">
      <c r="B241" s="83">
        <v>9</v>
      </c>
      <c r="C241" s="77">
        <f ca="1">IF(ISNUMBER($C$129),$C$129+($C$229-$C$129)*9/24,NA())</f>
        <v>587.12797382038548</v>
      </c>
      <c r="D241" s="84">
        <f t="shared" ca="1" si="2"/>
        <v>39</v>
      </c>
      <c r="E241" s="77">
        <f t="shared" ca="1" si="3"/>
        <v>596.39288390849651</v>
      </c>
      <c r="F241" s="82">
        <f t="shared" ca="1" si="4"/>
        <v>8.6611667177089458E-2</v>
      </c>
      <c r="G241" s="82" cm="1">
        <f t="array" aca="1" ref="G241" ca="1">IF(ISNUMBER(D241),IF(D241&gt;=101,INDEX($B$129:$B$229,101),INDEX($B$129:$B$229,D241)+(C241-INDEX($C$129:$C$229,D241))/MAX(0.000000000001,INDEX($C$129:$C$229,D241+1)-INDEX($C$129:$C$229,D241))*(INDEX($B$129:$B$229,D241+1)-INDEX($B$129:$B$229,D241))),NA())</f>
        <v>0.38503799719876941</v>
      </c>
    </row>
    <row r="242" spans="2:7" hidden="1" outlineLevel="1" x14ac:dyDescent="0.45">
      <c r="B242" s="83">
        <v>10</v>
      </c>
      <c r="C242" s="77">
        <f ca="1">IF(ISNUMBER($C$129),$C$129+($C$229-$C$129)*10/24,NA())</f>
        <v>605.65779399660755</v>
      </c>
      <c r="D242" s="84">
        <f t="shared" ca="1" si="2"/>
        <v>48</v>
      </c>
      <c r="E242" s="77">
        <f t="shared" ca="1" si="3"/>
        <v>614.92270408471859</v>
      </c>
      <c r="F242" s="82">
        <f t="shared" ca="1" si="4"/>
        <v>8.1897196742847123E-2</v>
      </c>
      <c r="G242" s="82" cm="1">
        <f t="array" aca="1" ref="G242" ca="1">IF(ISNUMBER(D242),IF(D242&gt;=101,INDEX($B$129:$B$229,101),INDEX($B$129:$B$229,D242)+(C242-INDEX($C$129:$C$229,D242))/MAX(0.000000000001,INDEX($C$129:$C$229,D242+1)-INDEX($C$129:$C$229,D242))*(INDEX($B$129:$B$229,D242+1)-INDEX($B$129:$B$229,D242))),NA())</f>
        <v>0.47164966437585887</v>
      </c>
    </row>
    <row r="243" spans="2:7" hidden="1" outlineLevel="1" x14ac:dyDescent="0.45">
      <c r="B243" s="83">
        <v>11</v>
      </c>
      <c r="C243" s="77">
        <f ca="1">IF(ISNUMBER($C$129),$C$129+($C$229-$C$129)*11/24,NA())</f>
        <v>624.18761417282974</v>
      </c>
      <c r="D243" s="84">
        <f t="shared" ca="1" si="2"/>
        <v>56</v>
      </c>
      <c r="E243" s="77">
        <f t="shared" ca="1" si="3"/>
        <v>633.45252426094078</v>
      </c>
      <c r="F243" s="82">
        <f t="shared" ca="1" si="4"/>
        <v>7.8692306321792915E-2</v>
      </c>
      <c r="G243" s="82" cm="1">
        <f t="array" aca="1" ref="G243" ca="1">IF(ISNUMBER(D243),IF(D243&gt;=101,INDEX($B$129:$B$229,101),INDEX($B$129:$B$229,D243)+(C243-INDEX($C$129:$C$229,D243))/MAX(0.000000000001,INDEX($C$129:$C$229,D243+1)-INDEX($C$129:$C$229,D243))*(INDEX($B$129:$B$229,D243+1)-INDEX($B$129:$B$229,D243))),NA())</f>
        <v>0.55354686111870599</v>
      </c>
    </row>
    <row r="244" spans="2:7" hidden="1" outlineLevel="1" x14ac:dyDescent="0.45">
      <c r="B244" s="83">
        <v>12</v>
      </c>
      <c r="C244" s="77">
        <f ca="1">IF(ISNUMBER($C$129),$C$129+($C$229-$C$129)*12/24,NA())</f>
        <v>642.71743434905181</v>
      </c>
      <c r="D244" s="84">
        <f t="shared" ca="1" si="2"/>
        <v>64</v>
      </c>
      <c r="E244" s="77">
        <f t="shared" ca="1" si="3"/>
        <v>651.98234443716285</v>
      </c>
      <c r="F244" s="82">
        <f t="shared" ca="1" si="4"/>
        <v>7.3633278675208524E-2</v>
      </c>
      <c r="G244" s="82" cm="1">
        <f t="array" aca="1" ref="G244" ca="1">IF(ISNUMBER(D244),IF(D244&gt;=101,INDEX($B$129:$B$229,101),INDEX($B$129:$B$229,D244)+(C244-INDEX($C$129:$C$229,D244))/MAX(0.000000000001,INDEX($C$129:$C$229,D244+1)-INDEX($C$129:$C$229,D244))*(INDEX($B$129:$B$229,D244+1)-INDEX($B$129:$B$229,D244))),NA())</f>
        <v>0.63223916744049891</v>
      </c>
    </row>
    <row r="245" spans="2:7" hidden="1" outlineLevel="1" x14ac:dyDescent="0.45">
      <c r="B245" s="83">
        <v>13</v>
      </c>
      <c r="C245" s="77">
        <f ca="1">IF(ISNUMBER($C$129),$C$129+($C$229-$C$129)*13/24,NA())</f>
        <v>661.24725452527389</v>
      </c>
      <c r="D245" s="84">
        <f t="shared" ca="1" si="2"/>
        <v>71</v>
      </c>
      <c r="E245" s="77">
        <f t="shared" ca="1" si="3"/>
        <v>670.51216461338504</v>
      </c>
      <c r="F245" s="82">
        <f t="shared" ca="1" si="4"/>
        <v>6.6720997018899997E-2</v>
      </c>
      <c r="G245" s="82" cm="1">
        <f t="array" aca="1" ref="G245" ca="1">IF(ISNUMBER(D245),IF(D245&gt;=101,INDEX($B$129:$B$229,101),INDEX($B$129:$B$229,D245)+(C245-INDEX($C$129:$C$229,D245))/MAX(0.000000000001,INDEX($C$129:$C$229,D245+1)-INDEX($C$129:$C$229,D245))*(INDEX($B$129:$B$229,D245+1)-INDEX($B$129:$B$229,D245))),NA())</f>
        <v>0.70587244611570743</v>
      </c>
    </row>
    <row r="246" spans="2:7" hidden="1" outlineLevel="1" x14ac:dyDescent="0.45">
      <c r="B246" s="83">
        <v>14</v>
      </c>
      <c r="C246" s="77">
        <f ca="1">IF(ISNUMBER($C$129),$C$129+($C$229-$C$129)*14/24,NA())</f>
        <v>679.77707470149608</v>
      </c>
      <c r="D246" s="84">
        <f t="shared" ca="1" si="2"/>
        <v>78</v>
      </c>
      <c r="E246" s="77">
        <f t="shared" ca="1" si="3"/>
        <v>689.04198478960711</v>
      </c>
      <c r="F246" s="82">
        <f t="shared" ca="1" si="4"/>
        <v>5.4529429592793277E-2</v>
      </c>
      <c r="G246" s="82" cm="1">
        <f t="array" aca="1" ref="G246" ca="1">IF(ISNUMBER(D246),IF(D246&gt;=101,INDEX($B$129:$B$229,101),INDEX($B$129:$B$229,D246)+(C246-INDEX($C$129:$C$229,D246))/MAX(0.000000000001,INDEX($C$129:$C$229,D246+1)-INDEX($C$129:$C$229,D246))*(INDEX($B$129:$B$229,D246+1)-INDEX($B$129:$B$229,D246))),NA())</f>
        <v>0.77259344313460743</v>
      </c>
    </row>
    <row r="247" spans="2:7" hidden="1" outlineLevel="1" x14ac:dyDescent="0.45">
      <c r="B247" s="83">
        <v>15</v>
      </c>
      <c r="C247" s="77">
        <f ca="1">IF(ISNUMBER($C$129),$C$129+($C$229-$C$129)*15/24,NA())</f>
        <v>698.30689487771815</v>
      </c>
      <c r="D247" s="84">
        <f t="shared" ca="1" si="2"/>
        <v>83</v>
      </c>
      <c r="E247" s="77">
        <f t="shared" ca="1" si="3"/>
        <v>707.57180496582919</v>
      </c>
      <c r="F247" s="82">
        <f t="shared" ca="1" si="4"/>
        <v>4.3733636927429376E-2</v>
      </c>
      <c r="G247" s="82" cm="1">
        <f t="array" aca="1" ref="G247" ca="1">IF(ISNUMBER(D247),IF(D247&gt;=101,INDEX($B$129:$B$229,101),INDEX($B$129:$B$229,D247)+(C247-INDEX($C$129:$C$229,D247))/MAX(0.000000000001,INDEX($C$129:$C$229,D247+1)-INDEX($C$129:$C$229,D247))*(INDEX($B$129:$B$229,D247+1)-INDEX($B$129:$B$229,D247))),NA())</f>
        <v>0.8271228727274007</v>
      </c>
    </row>
    <row r="248" spans="2:7" hidden="1" outlineLevel="1" x14ac:dyDescent="0.45">
      <c r="B248" s="83">
        <v>16</v>
      </c>
      <c r="C248" s="77">
        <f ca="1">IF(ISNUMBER($C$129),$C$129+($C$229-$C$129)*16/24,NA())</f>
        <v>716.83671505394022</v>
      </c>
      <c r="D248" s="84">
        <f t="shared" ca="1" si="2"/>
        <v>88</v>
      </c>
      <c r="E248" s="77">
        <f t="shared" ca="1" si="3"/>
        <v>726.10162514205126</v>
      </c>
      <c r="F248" s="82">
        <f t="shared" ca="1" si="4"/>
        <v>3.6356602856072673E-2</v>
      </c>
      <c r="G248" s="82" cm="1">
        <f t="array" aca="1" ref="G248" ca="1">IF(ISNUMBER(D248),IF(D248&gt;=101,INDEX($B$129:$B$229,101),INDEX($B$129:$B$229,D248)+(C248-INDEX($C$129:$C$229,D248))/MAX(0.000000000001,INDEX($C$129:$C$229,D248+1)-INDEX($C$129:$C$229,D248))*(INDEX($B$129:$B$229,D248+1)-INDEX($B$129:$B$229,D248))),NA())</f>
        <v>0.87085650965483008</v>
      </c>
    </row>
    <row r="249" spans="2:7" hidden="1" outlineLevel="1" x14ac:dyDescent="0.45">
      <c r="B249" s="83">
        <v>17</v>
      </c>
      <c r="C249" s="77">
        <f ca="1">IF(ISNUMBER($C$129),$C$129+($C$229-$C$129)*17/24,NA())</f>
        <v>735.36653523016241</v>
      </c>
      <c r="D249" s="84">
        <f t="shared" ca="1" si="2"/>
        <v>91</v>
      </c>
      <c r="E249" s="77">
        <f t="shared" ca="1" si="3"/>
        <v>744.63144531827356</v>
      </c>
      <c r="F249" s="82">
        <f t="shared" ca="1" si="4"/>
        <v>2.6411588165119793E-2</v>
      </c>
      <c r="G249" s="82" cm="1">
        <f t="array" aca="1" ref="G249" ca="1">IF(ISNUMBER(D249),IF(D249&gt;=101,INDEX($B$129:$B$229,101),INDEX($B$129:$B$229,D249)+(C249-INDEX($C$129:$C$229,D249))/MAX(0.000000000001,INDEX($C$129:$C$229,D249+1)-INDEX($C$129:$C$229,D249))*(INDEX($B$129:$B$229,D249+1)-INDEX($B$129:$B$229,D249))),NA())</f>
        <v>0.90721311251090275</v>
      </c>
    </row>
    <row r="250" spans="2:7" hidden="1" outlineLevel="1" x14ac:dyDescent="0.45">
      <c r="B250" s="83">
        <v>18</v>
      </c>
      <c r="C250" s="77">
        <f ca="1">IF(ISNUMBER($C$129),$C$129+($C$229-$C$129)*18/24,NA())</f>
        <v>753.8963554063846</v>
      </c>
      <c r="D250" s="84">
        <f t="shared" ca="1" si="2"/>
        <v>94</v>
      </c>
      <c r="E250" s="77">
        <f t="shared" ca="1" si="3"/>
        <v>763.16126549449564</v>
      </c>
      <c r="F250" s="82">
        <f t="shared" ca="1" si="4"/>
        <v>1.9946025429524727E-2</v>
      </c>
      <c r="G250" s="82" cm="1">
        <f t="array" aca="1" ref="G250" ca="1">IF(ISNUMBER(D250),IF(D250&gt;=101,INDEX($B$129:$B$229,101),INDEX($B$129:$B$229,D250)+(C250-INDEX($C$129:$C$229,D250))/MAX(0.000000000001,INDEX($C$129:$C$229,D250+1)-INDEX($C$129:$C$229,D250))*(INDEX($B$129:$B$229,D250+1)-INDEX($B$129:$B$229,D250))),NA())</f>
        <v>0.93362470067602255</v>
      </c>
    </row>
    <row r="251" spans="2:7" hidden="1" outlineLevel="1" x14ac:dyDescent="0.45">
      <c r="B251" s="83">
        <v>19</v>
      </c>
      <c r="C251" s="77">
        <f ca="1">IF(ISNUMBER($C$129),$C$129+($C$229-$C$129)*19/24,NA())</f>
        <v>772.42617558260667</v>
      </c>
      <c r="D251" s="84">
        <f t="shared" ca="1" si="2"/>
        <v>96</v>
      </c>
      <c r="E251" s="77">
        <f t="shared" ca="1" si="3"/>
        <v>781.69108567071771</v>
      </c>
      <c r="F251" s="82">
        <f t="shared" ca="1" si="4"/>
        <v>1.5789320477947677E-2</v>
      </c>
      <c r="G251" s="82" cm="1">
        <f t="array" aca="1" ref="G251" ca="1">IF(ISNUMBER(D251),IF(D251&gt;=101,INDEX($B$129:$B$229,101),INDEX($B$129:$B$229,D251)+(C251-INDEX($C$129:$C$229,D251))/MAX(0.000000000001,INDEX($C$129:$C$229,D251+1)-INDEX($C$129:$C$229,D251))*(INDEX($B$129:$B$229,D251+1)-INDEX($B$129:$B$229,D251))),NA())</f>
        <v>0.95357072610554727</v>
      </c>
    </row>
    <row r="252" spans="2:7" hidden="1" outlineLevel="1" x14ac:dyDescent="0.45">
      <c r="B252" s="83">
        <v>20</v>
      </c>
      <c r="C252" s="77">
        <f ca="1">IF(ISNUMBER($C$129),$C$129+($C$229-$C$129)*20/24,NA())</f>
        <v>790.95599575882875</v>
      </c>
      <c r="D252" s="84">
        <f t="shared" ca="1" si="2"/>
        <v>97</v>
      </c>
      <c r="E252" s="77">
        <f t="shared" ca="1" si="3"/>
        <v>800.22090584693979</v>
      </c>
      <c r="F252" s="82">
        <f t="shared" ca="1" si="4"/>
        <v>1.003156540070016E-2</v>
      </c>
      <c r="G252" s="82" cm="1">
        <f t="array" aca="1" ref="G252" ca="1">IF(ISNUMBER(D252),IF(D252&gt;=101,INDEX($B$129:$B$229,101),INDEX($B$129:$B$229,D252)+(C252-INDEX($C$129:$C$229,D252))/MAX(0.000000000001,INDEX($C$129:$C$229,D252+1)-INDEX($C$129:$C$229,D252))*(INDEX($B$129:$B$229,D252+1)-INDEX($B$129:$B$229,D252))),NA())</f>
        <v>0.96936004658349495</v>
      </c>
    </row>
    <row r="253" spans="2:7" hidden="1" outlineLevel="1" x14ac:dyDescent="0.45">
      <c r="B253" s="83">
        <v>21</v>
      </c>
      <c r="C253" s="77">
        <f ca="1">IF(ISNUMBER($C$129),$C$129+($C$229-$C$129)*21/24,NA())</f>
        <v>809.48581593505082</v>
      </c>
      <c r="D253" s="84">
        <f t="shared" ca="1" si="2"/>
        <v>98</v>
      </c>
      <c r="E253" s="77">
        <f t="shared" ca="1" si="3"/>
        <v>818.75072602316197</v>
      </c>
      <c r="F253" s="82">
        <f t="shared" ca="1" si="4"/>
        <v>6.120278790229805E-3</v>
      </c>
      <c r="G253" s="82" cm="1">
        <f t="array" aca="1" ref="G253" ca="1">IF(ISNUMBER(D253),IF(D253&gt;=101,INDEX($B$129:$B$229,101),INDEX($B$129:$B$229,D253)+(C253-INDEX($C$129:$C$229,D253))/MAX(0.000000000001,INDEX($C$129:$C$229,D253+1)-INDEX($C$129:$C$229,D253))*(INDEX($B$129:$B$229,D253+1)-INDEX($B$129:$B$229,D253))),NA())</f>
        <v>0.97939161198419511</v>
      </c>
    </row>
    <row r="254" spans="2:7" hidden="1" outlineLevel="1" x14ac:dyDescent="0.45">
      <c r="B254" s="83">
        <v>22</v>
      </c>
      <c r="C254" s="77">
        <f ca="1">IF(ISNUMBER($C$129),$C$129+($C$229-$C$129)*22/24,NA())</f>
        <v>828.01563611127312</v>
      </c>
      <c r="D254" s="84">
        <f t="shared" ca="1" si="2"/>
        <v>99</v>
      </c>
      <c r="E254" s="77">
        <f t="shared" ca="1" si="3"/>
        <v>837.28054619938416</v>
      </c>
      <c r="F254" s="82">
        <f t="shared" ca="1" si="4"/>
        <v>5.4437811406656822E-3</v>
      </c>
      <c r="G254" s="82" cm="1">
        <f t="array" aca="1" ref="G254" ca="1">IF(ISNUMBER(D254),IF(D254&gt;=101,INDEX($B$129:$B$229,101),INDEX($B$129:$B$229,D254)+(C254-INDEX($C$129:$C$229,D254))/MAX(0.000000000001,INDEX($C$129:$C$229,D254+1)-INDEX($C$129:$C$229,D254))*(INDEX($B$129:$B$229,D254+1)-INDEX($B$129:$B$229,D254))),NA())</f>
        <v>0.98551189077442491</v>
      </c>
    </row>
    <row r="255" spans="2:7" hidden="1" outlineLevel="1" x14ac:dyDescent="0.45">
      <c r="B255" s="83">
        <v>23</v>
      </c>
      <c r="C255" s="77">
        <f ca="1">IF(ISNUMBER($C$129),$C$129+($C$229-$C$129)*23/24,NA())</f>
        <v>846.5454562874952</v>
      </c>
      <c r="D255" s="84">
        <f t="shared" ca="1" si="2"/>
        <v>100</v>
      </c>
      <c r="E255" s="77">
        <f t="shared" ca="1" si="3"/>
        <v>855.81036637560624</v>
      </c>
      <c r="F255" s="82">
        <f t="shared" ca="1" si="4"/>
        <v>4.0443280849093988E-3</v>
      </c>
      <c r="G255" s="82" cm="1">
        <f t="array" aca="1" ref="G255" ca="1">IF(ISNUMBER(D255),IF(D255&gt;=101,INDEX($B$129:$B$229,101),INDEX($B$129:$B$229,D255)+(C255-INDEX($C$129:$C$229,D255))/MAX(0.000000000001,INDEX($C$129:$C$229,D255+1)-INDEX($C$129:$C$229,D255))*(INDEX($B$129:$B$229,D255+1)-INDEX($B$129:$B$229,D255))),NA())</f>
        <v>0.9909556719150906</v>
      </c>
    </row>
    <row r="256" spans="2:7" hidden="1" outlineLevel="1" x14ac:dyDescent="0.45">
      <c r="B256" s="83">
        <v>24</v>
      </c>
      <c r="C256" s="77">
        <f ca="1">IF(ISNUMBER($C$129),$C$129+($C$229-$C$129)*24/24,NA())</f>
        <v>865.07527646371727</v>
      </c>
      <c r="D256" s="84">
        <f t="shared" ca="1" si="2"/>
        <v>101</v>
      </c>
      <c r="G256" s="82" cm="1">
        <f t="array" aca="1" ref="G256" ca="1">IF(ISNUMBER(D256),IF(D256&gt;=101,INDEX($B$129:$B$229,101),INDEX($B$129:$B$229,D256)+(C256-INDEX($C$129:$C$229,D256))/MAX(0.000000000001,INDEX($C$129:$C$229,D256+1)-INDEX($C$129:$C$229,D256))*(INDEX($B$129:$B$229,D256+1)-INDEX($B$129:$B$229,D256))),NA())</f>
        <v>0.995</v>
      </c>
    </row>
  </sheetData>
  <mergeCells count="5">
    <mergeCell ref="B59:G59"/>
    <mergeCell ref="B60:G60"/>
    <mergeCell ref="B63:G63"/>
    <mergeCell ref="B61:G61"/>
    <mergeCell ref="B62:G62"/>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29:G256">
    <cfRule type="expression" dxfId="2" priority="5">
      <formula>ISNA($C$129)</formula>
    </cfRule>
  </conditionalFormatting>
  <conditionalFormatting sqref="D69:E118">
    <cfRule type="expression" dxfId="1" priority="3">
      <formula>ISNA(D69)</formula>
    </cfRule>
  </conditionalFormatting>
  <conditionalFormatting sqref="F122:G126">
    <cfRule type="expression" dxfId="0" priority="4">
      <formula>ISNA(F122)</formula>
    </cfRule>
  </conditionalFormatting>
  <hyperlinks>
    <hyperlink ref="B4" location="'Valuation'!A1" display="◂  Valuation"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AAE3-FB7B-4C9C-A00C-02947732C90E}">
  <dimension ref="A1:B1"/>
  <sheetViews>
    <sheetView workbookViewId="0"/>
  </sheetViews>
  <sheetFormatPr defaultRowHeight="14.25" x14ac:dyDescent="0.45"/>
  <sheetData>
    <row r="1" spans="1:2" x14ac:dyDescent="0.45">
      <c r="A1" s="89" t="s">
        <v>256</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13822-7C86-4C77-A995-C674DF5F6B90}">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7E7DD-4D53-473D-B995-54F019D310B0}">
  <dimension ref="B3:B112"/>
  <sheetViews>
    <sheetView workbookViewId="0"/>
  </sheetViews>
  <sheetFormatPr defaultRowHeight="14.25" x14ac:dyDescent="0.45"/>
  <sheetData>
    <row r="3" spans="2:2" x14ac:dyDescent="0.45">
      <c r="B3">
        <v>29</v>
      </c>
    </row>
    <row r="4" spans="2:2" x14ac:dyDescent="0.45">
      <c r="B4">
        <v>91</v>
      </c>
    </row>
    <row r="5" spans="2:2" x14ac:dyDescent="0.45">
      <c r="B5">
        <v>171</v>
      </c>
    </row>
    <row r="6" spans="2:2" x14ac:dyDescent="0.45">
      <c r="B6">
        <v>257</v>
      </c>
    </row>
    <row r="7" spans="2:2" x14ac:dyDescent="0.45">
      <c r="B7">
        <v>329</v>
      </c>
    </row>
    <row r="8" spans="2:2" x14ac:dyDescent="0.45">
      <c r="B8">
        <v>345</v>
      </c>
    </row>
    <row r="9" spans="2:2" x14ac:dyDescent="0.45">
      <c r="B9">
        <v>312</v>
      </c>
    </row>
    <row r="10" spans="2:2" x14ac:dyDescent="0.45">
      <c r="B10">
        <v>246</v>
      </c>
    </row>
    <row r="11" spans="2:2" x14ac:dyDescent="0.45">
      <c r="B11">
        <v>156</v>
      </c>
    </row>
    <row r="12" spans="2:2" x14ac:dyDescent="0.45">
      <c r="B12">
        <v>64</v>
      </c>
    </row>
    <row r="13" spans="2:2" x14ac:dyDescent="0.45">
      <c r="B13">
        <v>13</v>
      </c>
    </row>
    <row r="14" spans="2:2" x14ac:dyDescent="0.45">
      <c r="B14">
        <v>58</v>
      </c>
    </row>
    <row r="15" spans="2:2" x14ac:dyDescent="0.45">
      <c r="B15">
        <v>133</v>
      </c>
    </row>
    <row r="16" spans="2:2" x14ac:dyDescent="0.45">
      <c r="B16">
        <v>207</v>
      </c>
    </row>
    <row r="17" spans="2:2" x14ac:dyDescent="0.45">
      <c r="B17">
        <v>296</v>
      </c>
    </row>
    <row r="18" spans="2:2" x14ac:dyDescent="0.45">
      <c r="B18">
        <v>327</v>
      </c>
    </row>
    <row r="19" spans="2:2" x14ac:dyDescent="0.45">
      <c r="B19">
        <v>324</v>
      </c>
    </row>
    <row r="20" spans="2:2" x14ac:dyDescent="0.45">
      <c r="B20">
        <v>299</v>
      </c>
    </row>
    <row r="21" spans="2:2" x14ac:dyDescent="0.45">
      <c r="B21">
        <v>238</v>
      </c>
    </row>
    <row r="22" spans="2:2" x14ac:dyDescent="0.45">
      <c r="B22">
        <v>105</v>
      </c>
    </row>
    <row r="23" spans="2:2" x14ac:dyDescent="0.45">
      <c r="B23">
        <v>39</v>
      </c>
    </row>
    <row r="24" spans="2:2" x14ac:dyDescent="0.45">
      <c r="B24">
        <v>182</v>
      </c>
    </row>
    <row r="25" spans="2:2" x14ac:dyDescent="0.45">
      <c r="B25">
        <v>306</v>
      </c>
    </row>
    <row r="26" spans="2:2" x14ac:dyDescent="0.45">
      <c r="B26">
        <v>343</v>
      </c>
    </row>
    <row r="27" spans="2:2" x14ac:dyDescent="0.45">
      <c r="B27">
        <v>362</v>
      </c>
    </row>
    <row r="28" spans="2:2" x14ac:dyDescent="0.45">
      <c r="B28">
        <v>295</v>
      </c>
    </row>
    <row r="29" spans="2:2" x14ac:dyDescent="0.45">
      <c r="B29">
        <v>247</v>
      </c>
    </row>
    <row r="30" spans="2:2" x14ac:dyDescent="0.45">
      <c r="B30">
        <v>135</v>
      </c>
    </row>
    <row r="31" spans="2:2" x14ac:dyDescent="0.45">
      <c r="B31">
        <v>74</v>
      </c>
    </row>
    <row r="32" spans="2:2" x14ac:dyDescent="0.45">
      <c r="B32">
        <v>17</v>
      </c>
    </row>
    <row r="33" spans="2:2" x14ac:dyDescent="0.45">
      <c r="B33">
        <v>48</v>
      </c>
    </row>
    <row r="34" spans="2:2" x14ac:dyDescent="0.45">
      <c r="B34">
        <v>171</v>
      </c>
    </row>
    <row r="35" spans="2:2" x14ac:dyDescent="0.45">
      <c r="B35">
        <v>261</v>
      </c>
    </row>
    <row r="36" spans="2:2" x14ac:dyDescent="0.45">
      <c r="B36">
        <v>346</v>
      </c>
    </row>
    <row r="37" spans="2:2" x14ac:dyDescent="0.45">
      <c r="B37">
        <v>353</v>
      </c>
    </row>
    <row r="38" spans="2:2" x14ac:dyDescent="0.45">
      <c r="B38">
        <v>353</v>
      </c>
    </row>
    <row r="39" spans="2:2" x14ac:dyDescent="0.45">
      <c r="B39">
        <v>219</v>
      </c>
    </row>
    <row r="40" spans="2:2" x14ac:dyDescent="0.45">
      <c r="B40">
        <v>147</v>
      </c>
    </row>
    <row r="41" spans="2:2" x14ac:dyDescent="0.45">
      <c r="B41">
        <v>80</v>
      </c>
    </row>
    <row r="42" spans="2:2" x14ac:dyDescent="0.45">
      <c r="B42">
        <v>22</v>
      </c>
    </row>
    <row r="43" spans="2:2" x14ac:dyDescent="0.45">
      <c r="B43">
        <v>30</v>
      </c>
    </row>
    <row r="44" spans="2:2" x14ac:dyDescent="0.45">
      <c r="B44">
        <v>104</v>
      </c>
    </row>
    <row r="45" spans="2:2" x14ac:dyDescent="0.45">
      <c r="B45">
        <v>223</v>
      </c>
    </row>
    <row r="46" spans="2:2" x14ac:dyDescent="0.45">
      <c r="B46">
        <v>296</v>
      </c>
    </row>
    <row r="47" spans="2:2" x14ac:dyDescent="0.45">
      <c r="B47">
        <v>331</v>
      </c>
    </row>
    <row r="48" spans="2:2" x14ac:dyDescent="0.45">
      <c r="B48">
        <v>363</v>
      </c>
    </row>
    <row r="49" spans="2:2" x14ac:dyDescent="0.45">
      <c r="B49">
        <v>268</v>
      </c>
    </row>
    <row r="50" spans="2:2" x14ac:dyDescent="0.45">
      <c r="B50">
        <v>231</v>
      </c>
    </row>
    <row r="51" spans="2:2" x14ac:dyDescent="0.45">
      <c r="B51">
        <v>119</v>
      </c>
    </row>
    <row r="52" spans="2:2" x14ac:dyDescent="0.45">
      <c r="B52">
        <v>35</v>
      </c>
    </row>
    <row r="53" spans="2:2" x14ac:dyDescent="0.45">
      <c r="B53">
        <v>19</v>
      </c>
    </row>
    <row r="54" spans="2:2" x14ac:dyDescent="0.45">
      <c r="B54">
        <v>94</v>
      </c>
    </row>
    <row r="55" spans="2:2" x14ac:dyDescent="0.45">
      <c r="B55">
        <v>210</v>
      </c>
    </row>
    <row r="56" spans="2:2" x14ac:dyDescent="0.45">
      <c r="B56">
        <v>282</v>
      </c>
    </row>
    <row r="57" spans="2:2" x14ac:dyDescent="0.45">
      <c r="B57">
        <v>328</v>
      </c>
    </row>
    <row r="58" spans="2:2" x14ac:dyDescent="0.45">
      <c r="B58">
        <v>354</v>
      </c>
    </row>
    <row r="59" spans="2:2" x14ac:dyDescent="0.45">
      <c r="B59">
        <v>288</v>
      </c>
    </row>
    <row r="60" spans="2:2" x14ac:dyDescent="0.45">
      <c r="B60">
        <v>218</v>
      </c>
    </row>
    <row r="61" spans="2:2" x14ac:dyDescent="0.45">
      <c r="B61">
        <v>145</v>
      </c>
    </row>
    <row r="62" spans="2:2" x14ac:dyDescent="0.45">
      <c r="B62">
        <v>62</v>
      </c>
    </row>
    <row r="63" spans="2:2" x14ac:dyDescent="0.45">
      <c r="B63">
        <v>24</v>
      </c>
    </row>
    <row r="64" spans="2:2" x14ac:dyDescent="0.45">
      <c r="B64">
        <v>119</v>
      </c>
    </row>
    <row r="65" spans="2:2" x14ac:dyDescent="0.45">
      <c r="B65">
        <v>314</v>
      </c>
    </row>
    <row r="66" spans="2:2" x14ac:dyDescent="0.45">
      <c r="B66">
        <v>475</v>
      </c>
    </row>
    <row r="67" spans="2:2" x14ac:dyDescent="0.45">
      <c r="B67">
        <v>478</v>
      </c>
    </row>
    <row r="68" spans="2:2" x14ac:dyDescent="0.45">
      <c r="B68">
        <v>341</v>
      </c>
    </row>
    <row r="69" spans="2:2" x14ac:dyDescent="0.45">
      <c r="B69">
        <v>158</v>
      </c>
    </row>
    <row r="70" spans="2:2" x14ac:dyDescent="0.45">
      <c r="B70">
        <v>60</v>
      </c>
    </row>
    <row r="71" spans="2:2" x14ac:dyDescent="0.45">
      <c r="B71">
        <v>24</v>
      </c>
    </row>
    <row r="72" spans="2:2" x14ac:dyDescent="0.45">
      <c r="B72">
        <v>7</v>
      </c>
    </row>
    <row r="73" spans="2:2" x14ac:dyDescent="0.45">
      <c r="B73">
        <v>22</v>
      </c>
    </row>
    <row r="74" spans="2:2" x14ac:dyDescent="0.45">
      <c r="B74">
        <v>120</v>
      </c>
    </row>
    <row r="75" spans="2:2" x14ac:dyDescent="0.45">
      <c r="B75">
        <v>238</v>
      </c>
    </row>
    <row r="76" spans="2:2" x14ac:dyDescent="0.45">
      <c r="B76">
        <v>423</v>
      </c>
    </row>
    <row r="77" spans="2:2" x14ac:dyDescent="0.45">
      <c r="B77">
        <v>442</v>
      </c>
    </row>
    <row r="78" spans="2:2" x14ac:dyDescent="0.45">
      <c r="B78">
        <v>350</v>
      </c>
    </row>
    <row r="79" spans="2:2" x14ac:dyDescent="0.45">
      <c r="B79">
        <v>252</v>
      </c>
    </row>
    <row r="80" spans="2:2" x14ac:dyDescent="0.45">
      <c r="B80">
        <v>122</v>
      </c>
    </row>
    <row r="81" spans="2:2" x14ac:dyDescent="0.45">
      <c r="B81">
        <v>20</v>
      </c>
    </row>
    <row r="82" spans="2:2" x14ac:dyDescent="0.45">
      <c r="B82">
        <v>11</v>
      </c>
    </row>
    <row r="83" spans="2:2" x14ac:dyDescent="0.45">
      <c r="B83">
        <v>10</v>
      </c>
    </row>
    <row r="84" spans="2:2" x14ac:dyDescent="0.45">
      <c r="B84">
        <v>48</v>
      </c>
    </row>
    <row r="85" spans="2:2" x14ac:dyDescent="0.45">
      <c r="B85">
        <v>143</v>
      </c>
    </row>
    <row r="86" spans="2:2" x14ac:dyDescent="0.45">
      <c r="B86">
        <v>297</v>
      </c>
    </row>
    <row r="87" spans="2:2" x14ac:dyDescent="0.45">
      <c r="B87">
        <v>456</v>
      </c>
    </row>
    <row r="88" spans="2:2" x14ac:dyDescent="0.45">
      <c r="B88">
        <v>446</v>
      </c>
    </row>
    <row r="89" spans="2:2" x14ac:dyDescent="0.45">
      <c r="B89">
        <v>346</v>
      </c>
    </row>
    <row r="90" spans="2:2" x14ac:dyDescent="0.45">
      <c r="B90">
        <v>178</v>
      </c>
    </row>
    <row r="91" spans="2:2" x14ac:dyDescent="0.45">
      <c r="B91">
        <v>67</v>
      </c>
    </row>
    <row r="92" spans="2:2" x14ac:dyDescent="0.45">
      <c r="B92">
        <v>9</v>
      </c>
    </row>
    <row r="93" spans="2:2" x14ac:dyDescent="0.45">
      <c r="B93">
        <v>5</v>
      </c>
    </row>
    <row r="94" spans="2:2" x14ac:dyDescent="0.45">
      <c r="B94">
        <v>41</v>
      </c>
    </row>
    <row r="95" spans="2:2" x14ac:dyDescent="0.45">
      <c r="B95">
        <v>185</v>
      </c>
    </row>
    <row r="96" spans="2:2" x14ac:dyDescent="0.45">
      <c r="B96">
        <v>382</v>
      </c>
    </row>
    <row r="97" spans="2:2" x14ac:dyDescent="0.45">
      <c r="B97">
        <v>489</v>
      </c>
    </row>
    <row r="98" spans="2:2" x14ac:dyDescent="0.45">
      <c r="B98">
        <v>416</v>
      </c>
    </row>
    <row r="99" spans="2:2" x14ac:dyDescent="0.45">
      <c r="B99">
        <v>272</v>
      </c>
    </row>
    <row r="100" spans="2:2" x14ac:dyDescent="0.45">
      <c r="B100">
        <v>131</v>
      </c>
    </row>
    <row r="101" spans="2:2" x14ac:dyDescent="0.45">
      <c r="B101">
        <v>60</v>
      </c>
    </row>
    <row r="102" spans="2:2" x14ac:dyDescent="0.45">
      <c r="B102">
        <v>19</v>
      </c>
    </row>
    <row r="103" spans="2:2" x14ac:dyDescent="0.45">
      <c r="B103">
        <v>1115</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885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2468">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171D90EE-6273-4F67-8D3F-CF884F5D6D7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60</vt:i4>
      </vt:variant>
    </vt:vector>
  </HeadingPairs>
  <TitlesOfParts>
    <vt:vector size="67" baseType="lpstr">
      <vt:lpstr>About</vt:lpstr>
      <vt:lpstr>Inputs</vt:lpstr>
      <vt:lpstr>Valuation</vt:lpstr>
      <vt:lpstr>Results</vt:lpstr>
      <vt:lpstr>ModelRiskDSN</vt:lpstr>
      <vt:lpstr>ModelRiskSYS1</vt:lpstr>
      <vt:lpstr>ModelRiskCharts</vt:lpstr>
      <vt:lpstr>BelowPrice</vt:lpstr>
      <vt:lpstr>CapexPct</vt:lpstr>
      <vt:lpstr>CapexPct_Hi</vt:lpstr>
      <vt:lpstr>CapexPct_Lo</vt:lpstr>
      <vt:lpstr>CapexPct_Mean</vt:lpstr>
      <vt:lpstr>CapexPct_ML</vt:lpstr>
      <vt:lpstr>Checks</vt:lpstr>
      <vt:lpstr>Confidence</vt:lpstr>
      <vt:lpstr>Corr_GM</vt:lpstr>
      <vt:lpstr>DA</vt:lpstr>
      <vt:lpstr>EV</vt:lpstr>
      <vt:lpstr>EV_ML</vt:lpstr>
      <vt:lpstr>EV_Mult</vt:lpstr>
      <vt:lpstr>ExitMult</vt:lpstr>
      <vt:lpstr>ExitMult_Hi</vt:lpstr>
      <vt:lpstr>ExitMult_Lo</vt:lpstr>
      <vt:lpstr>ExitMult_Mean</vt:lpstr>
      <vt:lpstr>ExitMult_ML</vt:lpstr>
      <vt:lpstr>Growth</vt:lpstr>
      <vt:lpstr>Growth_Hi</vt:lpstr>
      <vt:lpstr>Growth_Lo</vt:lpstr>
      <vt:lpstr>Growth_Mean</vt:lpstr>
      <vt:lpstr>Growth_ML</vt:lpstr>
      <vt:lpstr>ImpliedMult</vt:lpstr>
      <vt:lpstr>InputMeans</vt:lpstr>
      <vt:lpstr>M0</vt:lpstr>
      <vt:lpstr>MarginSS</vt:lpstr>
      <vt:lpstr>MarginSS_Hi</vt:lpstr>
      <vt:lpstr>MarginSS_Lo</vt:lpstr>
      <vt:lpstr>MarginSS_Mean</vt:lpstr>
      <vt:lpstr>MarginSS_ML</vt:lpstr>
      <vt:lpstr>NWCPct</vt:lpstr>
      <vt:lpstr>Price</vt:lpstr>
      <vt:lpstr>Results!Print_Area</vt:lpstr>
      <vt:lpstr>Inputs!Print_Titles</vt:lpstr>
      <vt:lpstr>Results!Print_Titles</vt:lpstr>
      <vt:lpstr>Valuation!Print_Titles</vt:lpstr>
      <vt:lpstr>PV_TV</vt:lpstr>
      <vt:lpstr>PV_TVM</vt:lpstr>
      <vt:lpstr>PV_Years</vt:lpstr>
      <vt:lpstr>RampYears</vt:lpstr>
      <vt:lpstr>Rev0</vt:lpstr>
      <vt:lpstr>Spread</vt:lpstr>
      <vt:lpstr>TaxRate</vt:lpstr>
      <vt:lpstr>TermGrowth</vt:lpstr>
      <vt:lpstr>TermGrowth_Hi</vt:lpstr>
      <vt:lpstr>TermGrowth_Lo</vt:lpstr>
      <vt:lpstr>TermGrowth_Mean</vt:lpstr>
      <vt:lpstr>TermGrowth_ML</vt:lpstr>
      <vt:lpstr>TV_G</vt:lpstr>
      <vt:lpstr>TV_M</vt:lpstr>
      <vt:lpstr>TV_ML</vt:lpstr>
      <vt:lpstr>TVShare</vt:lpstr>
      <vt:lpstr>U_G</vt:lpstr>
      <vt:lpstr>U_M</vt:lpstr>
      <vt:lpstr>WACC</vt:lpstr>
      <vt:lpstr>WACC_Hi</vt:lpstr>
      <vt:lpstr>WACC_Lo</vt:lpstr>
      <vt:lpstr>WACC_Mean</vt:lpstr>
      <vt:lpstr>WACC_ML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CF-04 Company Valuation with Terminal-Value Uncertainty</dc:title>
  <dc:subject>ModelRisk industry example library — Corporate finance</dc:subject>
  <dc:creator>Vose Software</dc:creator>
  <cp:keywords>ModelRisk; Monte Carlo; Corporate finance</cp:keywords>
  <dc:description>A five-year DCF of an acquisition target with its terminal value: the value's range and the chance of overpaying.</dc:description>
  <cp:lastModifiedBy>Timour Koupeev</cp:lastModifiedBy>
  <cp:lastPrinted>2026-10-05T13:16:16Z</cp:lastPrinted>
  <dcterms:created xsi:type="dcterms:W3CDTF">2026-10-05T13:12:29Z</dcterms:created>
  <dcterms:modified xsi:type="dcterms:W3CDTF">2026-10-05T13:16:18Z</dcterms:modified>
</cp:coreProperties>
</file>