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0020" windowHeight="7965" firstSheet="1" activeTab="1"/>
  </bookViews>
  <sheets>
    <sheet name="CB_DATA_" sheetId="1" state="hidden" r:id="rId1"/>
    <sheet name="Model" sheetId="2" r:id="rId2"/>
  </sheets>
  <definedNames>
    <definedName name="AvgSalesRate">'Model'!$O$18</definedName>
    <definedName name="CBWorkbookPriority" hidden="1">-470823365</definedName>
    <definedName name="CBx_1238492f08f94765a9c741550843c744" localSheetId="0" hidden="1">"'Model'!$A$1"</definedName>
    <definedName name="CBx_1eb906de3a224350b7bcad50616738fa" localSheetId="0" hidden="1">"'CB_DATA_'!$A$1"</definedName>
    <definedName name="CBx_Sheet_Guid" localSheetId="0" hidden="1">"'1eb906de-3a22-4350-b7bc-ad50616738fa"</definedName>
    <definedName name="CBx_Sheet_Guid" localSheetId="1" hidden="1">"'1238492f-08f9-4765-a9c7-41550843c744"</definedName>
    <definedName name="CBx_StorageType" localSheetId="0" hidden="1">1</definedName>
    <definedName name="CBx_StorageType" localSheetId="1" hidden="1">1</definedName>
    <definedName name="CostOfDebt">'Model'!$O$24</definedName>
    <definedName name="dividends">'Model'!$O$25</definedName>
    <definedName name="InitialCash">'Model'!$O$26</definedName>
    <definedName name="InitialStock">'Model'!$O$21</definedName>
    <definedName name="MaximumStock">'Model'!$O$29</definedName>
    <definedName name="MinimumStock">'Model'!$O$30</definedName>
    <definedName name="MonthlyCosts">'Model'!$O$22</definedName>
    <definedName name="P">#REF!</definedName>
    <definedName name="PurchasePrice">'Model'!$O$16</definedName>
    <definedName name="RemainingStock">'Model'!$O$34</definedName>
    <definedName name="RiskAutoStopPercChange">1.5</definedName>
    <definedName name="RiskCollectDistributionSamples">0</definedName>
    <definedName name="RiskExcelReportsGoInNewWorkbook">TRUE</definedName>
    <definedName name="RiskExcelReportsToGenerate">32</definedName>
    <definedName name="RiskFixedSeed">1</definedName>
    <definedName name="RiskGenerateExcelReportsAtEndOfSimulation">FALSE</definedName>
    <definedName name="RiskHasSettings">TRUE</definedName>
    <definedName name="RiskMinimizeOnStart">FALSE</definedName>
    <definedName name="RiskMonitorConvergence">FALSE</definedName>
    <definedName name="RiskNumIterations">1000</definedName>
    <definedName name="RiskNumSimulations">97</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howRiskWindowAtEndOfSimulation">FALSE</definedName>
    <definedName name="RiskStandardRecalc">2</definedName>
    <definedName name="RiskTemplateSheetName">"myTemplate"</definedName>
    <definedName name="RiskUpdateDisplay">FALSE</definedName>
    <definedName name="RiskUseDifferentSeedForEachSim">FALSE</definedName>
    <definedName name="RiskUseFixedSeed">TRUE</definedName>
    <definedName name="RiskUseMultipleCPUs">FALSE</definedName>
    <definedName name="SalePrice">'Model'!$O$17</definedName>
    <definedName name="t">#REF!</definedName>
    <definedName name="TaxRate">'Model'!$O$23</definedName>
    <definedName name="TotalStockBought">'Model'!$O$32</definedName>
    <definedName name="TotalStockSold">'Model'!$O$33</definedName>
    <definedName name="Values">#REF!</definedName>
    <definedName name="X0">#REF!</definedName>
    <definedName name="Xt">#REF!</definedName>
  </definedNames>
  <calcPr fullCalcOnLoad="1"/>
</workbook>
</file>

<file path=xl/comments2.xml><?xml version="1.0" encoding="utf-8"?>
<comments xmlns="http://schemas.openxmlformats.org/spreadsheetml/2006/main">
  <authors>
    <author>David</author>
  </authors>
  <commentList>
    <comment ref="B15" authorId="0">
      <text>
        <r>
          <rPr>
            <sz val="8"/>
            <rFont val="Tahoma"/>
            <family val="2"/>
          </rPr>
          <t>Extra month to reflect any past orders</t>
        </r>
      </text>
    </comment>
  </commentList>
</comments>
</file>

<file path=xl/sharedStrings.xml><?xml version="1.0" encoding="utf-8"?>
<sst xmlns="http://schemas.openxmlformats.org/spreadsheetml/2006/main" count="42" uniqueCount="34">
  <si>
    <t>Stock</t>
  </si>
  <si>
    <t>Month</t>
  </si>
  <si>
    <t>Sales</t>
  </si>
  <si>
    <t>Remaining stock</t>
  </si>
  <si>
    <t>Average sales rate</t>
  </si>
  <si>
    <t>Maximum stock</t>
  </si>
  <si>
    <t>tractors</t>
  </si>
  <si>
    <t>tractors per month</t>
  </si>
  <si>
    <t>Minimum stock</t>
  </si>
  <si>
    <t>Total stock bought</t>
  </si>
  <si>
    <t>Total stock sold</t>
  </si>
  <si>
    <t>Initial stock</t>
  </si>
  <si>
    <t>over 10 years</t>
  </si>
  <si>
    <t>Model inputs</t>
  </si>
  <si>
    <t>Initial cash $</t>
  </si>
  <si>
    <t>Purchase price $</t>
  </si>
  <si>
    <t>Sale price $</t>
  </si>
  <si>
    <t>Orders</t>
  </si>
  <si>
    <t>Tax</t>
  </si>
  <si>
    <t>Tax rate</t>
  </si>
  <si>
    <t>Cash position</t>
  </si>
  <si>
    <t>Cash position after tax</t>
  </si>
  <si>
    <t>Average yearly profit $</t>
  </si>
  <si>
    <t>Total profit $</t>
  </si>
  <si>
    <t>Monthly running costs $</t>
  </si>
  <si>
    <t>at the end of year 10</t>
  </si>
  <si>
    <t>Cost of Debt</t>
  </si>
  <si>
    <t>per month</t>
  </si>
  <si>
    <t>Income paid to owners</t>
  </si>
  <si>
    <t>Cash position after dividends</t>
  </si>
  <si>
    <t>Tractor stock optimise</t>
  </si>
  <si>
    <t>Poisson</t>
  </si>
  <si>
    <t>Initial maximum stock</t>
  </si>
  <si>
    <t>Initial minimum stock</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</si>
</sst>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0.0000"/>
    <numFmt numFmtId="175" formatCode="0.00000"/>
    <numFmt numFmtId="176" formatCode="0.0%"/>
  </numFmts>
  <fonts count="52">
    <font>
      <sz val="10"/>
      <name val="Arial"/>
      <family val="0"/>
    </font>
    <font>
      <b/>
      <i/>
      <sz val="10"/>
      <name val="Arial"/>
      <family val="2"/>
    </font>
    <font>
      <sz val="8"/>
      <name val="Arial"/>
      <family val="2"/>
    </font>
    <font>
      <u val="single"/>
      <sz val="10"/>
      <color indexed="12"/>
      <name val="Arial"/>
      <family val="2"/>
    </font>
    <font>
      <u val="single"/>
      <sz val="10"/>
      <color indexed="36"/>
      <name val="Arial"/>
      <family val="2"/>
    </font>
    <font>
      <sz val="10"/>
      <color indexed="12"/>
      <name val="Arial"/>
      <family val="2"/>
    </font>
    <font>
      <sz val="10"/>
      <color indexed="10"/>
      <name val="Arial"/>
      <family val="2"/>
    </font>
    <font>
      <sz val="8"/>
      <name val="Tahoma"/>
      <family val="2"/>
    </font>
    <font>
      <b/>
      <sz val="10"/>
      <color indexed="12"/>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0"/>
    </font>
    <font>
      <sz val="10"/>
      <color indexed="8"/>
      <name val="Arial"/>
      <family val="0"/>
    </font>
    <font>
      <sz val="10.25"/>
      <color indexed="8"/>
      <name val="Arial"/>
      <family val="0"/>
    </font>
    <font>
      <sz val="9.5"/>
      <color indexed="8"/>
      <name val="Arial"/>
      <family val="0"/>
    </font>
    <font>
      <sz val="8"/>
      <color indexed="8"/>
      <name val="Arial"/>
      <family val="0"/>
    </font>
    <font>
      <b/>
      <sz val="8"/>
      <color indexed="8"/>
      <name val="Arial"/>
      <family val="0"/>
    </font>
    <font>
      <sz val="7.3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3">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Fill="1" applyBorder="1" applyAlignment="1">
      <alignment/>
    </xf>
    <xf numFmtId="0" fontId="0" fillId="33" borderId="0" xfId="0" applyFill="1" applyAlignment="1">
      <alignment/>
    </xf>
    <xf numFmtId="0" fontId="1" fillId="0" borderId="0" xfId="0" applyFont="1" applyAlignment="1">
      <alignment/>
    </xf>
    <xf numFmtId="0" fontId="1" fillId="0" borderId="0" xfId="0" applyFont="1" applyAlignment="1">
      <alignment horizontal="center" vertical="center" wrapText="1"/>
    </xf>
    <xf numFmtId="0" fontId="0" fillId="0" borderId="12" xfId="0" applyFill="1" applyBorder="1" applyAlignment="1">
      <alignment/>
    </xf>
    <xf numFmtId="0" fontId="8" fillId="0" borderId="13" xfId="0" applyFont="1" applyBorder="1" applyAlignment="1">
      <alignment/>
    </xf>
    <xf numFmtId="3" fontId="5" fillId="0" borderId="16" xfId="0" applyNumberFormat="1" applyFont="1" applyBorder="1" applyAlignment="1">
      <alignment/>
    </xf>
    <xf numFmtId="3" fontId="5" fillId="0" borderId="0" xfId="0" applyNumberFormat="1" applyFont="1" applyBorder="1" applyAlignment="1">
      <alignment/>
    </xf>
    <xf numFmtId="0" fontId="5" fillId="0" borderId="0" xfId="0" applyFont="1" applyBorder="1" applyAlignment="1">
      <alignment/>
    </xf>
    <xf numFmtId="0" fontId="5" fillId="0" borderId="0" xfId="0" applyFont="1" applyFill="1" applyBorder="1" applyAlignment="1">
      <alignment/>
    </xf>
    <xf numFmtId="3" fontId="5" fillId="0" borderId="17" xfId="0" applyNumberFormat="1" applyFont="1" applyBorder="1" applyAlignment="1">
      <alignment/>
    </xf>
    <xf numFmtId="0" fontId="6" fillId="0" borderId="18" xfId="0" applyFont="1" applyBorder="1" applyAlignment="1">
      <alignment/>
    </xf>
    <xf numFmtId="0" fontId="0" fillId="0" borderId="0" xfId="0" applyFont="1" applyAlignment="1">
      <alignment/>
    </xf>
    <xf numFmtId="9" fontId="5" fillId="0" borderId="0" xfId="0" applyNumberFormat="1" applyFont="1" applyBorder="1" applyAlignment="1">
      <alignment/>
    </xf>
    <xf numFmtId="2" fontId="0" fillId="0" borderId="0" xfId="0" applyNumberFormat="1" applyFont="1" applyAlignment="1">
      <alignment/>
    </xf>
    <xf numFmtId="2" fontId="0" fillId="33" borderId="0" xfId="0" applyNumberFormat="1" applyFill="1" applyAlignment="1">
      <alignment/>
    </xf>
    <xf numFmtId="176" fontId="5" fillId="0" borderId="0" xfId="0" applyNumberFormat="1" applyFont="1" applyBorder="1" applyAlignment="1">
      <alignment/>
    </xf>
    <xf numFmtId="2" fontId="0" fillId="0" borderId="0" xfId="0" applyNumberFormat="1" applyAlignment="1">
      <alignment/>
    </xf>
    <xf numFmtId="0" fontId="9" fillId="0" borderId="0" xfId="0" applyFont="1" applyAlignment="1">
      <alignment/>
    </xf>
    <xf numFmtId="0" fontId="0" fillId="0" borderId="0" xfId="0" applyBorder="1" applyAlignment="1">
      <alignment/>
    </xf>
    <xf numFmtId="0" fontId="0" fillId="0" borderId="0" xfId="0" applyFont="1" applyFill="1" applyBorder="1" applyAlignment="1">
      <alignment/>
    </xf>
    <xf numFmtId="9" fontId="0" fillId="0" borderId="0" xfId="59" applyFont="1" applyAlignment="1">
      <alignment/>
    </xf>
    <xf numFmtId="0" fontId="0" fillId="0" borderId="0" xfId="0" applyFill="1" applyAlignment="1">
      <alignment/>
    </xf>
    <xf numFmtId="0" fontId="6" fillId="0" borderId="19" xfId="0" applyFont="1" applyFill="1" applyBorder="1" applyAlignment="1">
      <alignment/>
    </xf>
    <xf numFmtId="0" fontId="0" fillId="0" borderId="10" xfId="0" applyBorder="1" applyAlignment="1">
      <alignment horizontal="center"/>
    </xf>
    <xf numFmtId="0" fontId="0" fillId="0" borderId="16" xfId="0" applyBorder="1" applyAlignment="1">
      <alignment horizontal="center"/>
    </xf>
    <xf numFmtId="0" fontId="0" fillId="0" borderId="11" xfId="0"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55"/>
          <c:y val="0.1015"/>
          <c:w val="0.9075"/>
          <c:h val="0.7815"/>
        </c:manualLayout>
      </c:layout>
      <c:scatterChart>
        <c:scatterStyle val="line"/>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12"/>
            <c:spPr>
              <a:ln w="12700">
                <a:solidFill>
                  <a:srgbClr val="000080"/>
                </a:solidFill>
              </a:ln>
            </c:spPr>
            <c:marker>
              <c:symbol val="square"/>
              <c:size val="3"/>
              <c:spPr>
                <a:solidFill>
                  <a:srgbClr val="FF0000"/>
                </a:solidFill>
                <a:ln>
                  <a:solidFill>
                    <a:srgbClr val="FF0000"/>
                  </a:solidFill>
                </a:ln>
              </c:spPr>
            </c:marker>
          </c:dPt>
          <c:dPt>
            <c:idx val="24"/>
            <c:spPr>
              <a:ln w="12700">
                <a:solidFill>
                  <a:srgbClr val="000080"/>
                </a:solidFill>
              </a:ln>
            </c:spPr>
            <c:marker>
              <c:symbol val="square"/>
              <c:size val="3"/>
              <c:spPr>
                <a:solidFill>
                  <a:srgbClr val="FF0000"/>
                </a:solidFill>
                <a:ln>
                  <a:solidFill>
                    <a:srgbClr val="FF0000"/>
                  </a:solidFill>
                </a:ln>
              </c:spPr>
            </c:marker>
          </c:dPt>
          <c:dPt>
            <c:idx val="36"/>
            <c:spPr>
              <a:ln w="12700">
                <a:solidFill>
                  <a:srgbClr val="000080"/>
                </a:solidFill>
              </a:ln>
            </c:spPr>
            <c:marker>
              <c:symbol val="square"/>
              <c:size val="3"/>
              <c:spPr>
                <a:solidFill>
                  <a:srgbClr val="FF0000"/>
                </a:solidFill>
                <a:ln>
                  <a:solidFill>
                    <a:srgbClr val="FF0000"/>
                  </a:solidFill>
                </a:ln>
              </c:spPr>
            </c:marker>
          </c:dPt>
          <c:dPt>
            <c:idx val="48"/>
            <c:spPr>
              <a:ln w="12700">
                <a:solidFill>
                  <a:srgbClr val="000080"/>
                </a:solidFill>
              </a:ln>
            </c:spPr>
            <c:marker>
              <c:symbol val="square"/>
              <c:size val="3"/>
              <c:spPr>
                <a:solidFill>
                  <a:srgbClr val="FF0000"/>
                </a:solidFill>
                <a:ln>
                  <a:solidFill>
                    <a:srgbClr val="FF0000"/>
                  </a:solidFill>
                </a:ln>
              </c:spPr>
            </c:marker>
          </c:dPt>
          <c:dPt>
            <c:idx val="60"/>
            <c:spPr>
              <a:ln w="12700">
                <a:solidFill>
                  <a:srgbClr val="000080"/>
                </a:solidFill>
              </a:ln>
            </c:spPr>
            <c:marker>
              <c:symbol val="square"/>
              <c:size val="3"/>
              <c:spPr>
                <a:solidFill>
                  <a:srgbClr val="FF0000"/>
                </a:solidFill>
                <a:ln>
                  <a:solidFill>
                    <a:srgbClr val="FF0000"/>
                  </a:solidFill>
                </a:ln>
              </c:spPr>
            </c:marker>
          </c:dPt>
          <c:dPt>
            <c:idx val="72"/>
            <c:spPr>
              <a:ln w="12700">
                <a:solidFill>
                  <a:srgbClr val="000080"/>
                </a:solidFill>
              </a:ln>
            </c:spPr>
            <c:marker>
              <c:symbol val="square"/>
              <c:size val="3"/>
              <c:spPr>
                <a:solidFill>
                  <a:srgbClr val="FF0000"/>
                </a:solidFill>
                <a:ln>
                  <a:solidFill>
                    <a:srgbClr val="FF0000"/>
                  </a:solidFill>
                </a:ln>
              </c:spPr>
            </c:marker>
          </c:dPt>
          <c:dPt>
            <c:idx val="84"/>
            <c:spPr>
              <a:ln w="12700">
                <a:solidFill>
                  <a:srgbClr val="000080"/>
                </a:solidFill>
              </a:ln>
            </c:spPr>
            <c:marker>
              <c:symbol val="square"/>
              <c:size val="3"/>
              <c:spPr>
                <a:solidFill>
                  <a:srgbClr val="FF0000"/>
                </a:solidFill>
                <a:ln>
                  <a:solidFill>
                    <a:srgbClr val="FF0000"/>
                  </a:solidFill>
                </a:ln>
              </c:spPr>
            </c:marker>
          </c:dPt>
          <c:dPt>
            <c:idx val="96"/>
            <c:spPr>
              <a:ln w="12700">
                <a:solidFill>
                  <a:srgbClr val="000080"/>
                </a:solidFill>
              </a:ln>
            </c:spPr>
            <c:marker>
              <c:symbol val="square"/>
              <c:size val="3"/>
              <c:spPr>
                <a:solidFill>
                  <a:srgbClr val="FF0000"/>
                </a:solidFill>
                <a:ln>
                  <a:solidFill>
                    <a:srgbClr val="FF0000"/>
                  </a:solidFill>
                </a:ln>
              </c:spPr>
            </c:marker>
          </c:dPt>
          <c:dPt>
            <c:idx val="108"/>
            <c:spPr>
              <a:ln w="12700">
                <a:solidFill>
                  <a:srgbClr val="000080"/>
                </a:solidFill>
              </a:ln>
            </c:spPr>
            <c:marker>
              <c:symbol val="square"/>
              <c:size val="3"/>
              <c:spPr>
                <a:solidFill>
                  <a:srgbClr val="FF0000"/>
                </a:solidFill>
                <a:ln>
                  <a:solidFill>
                    <a:srgbClr val="FF0000"/>
                  </a:solidFill>
                </a:ln>
              </c:spPr>
            </c:marker>
          </c:dPt>
          <c:dPt>
            <c:idx val="120"/>
            <c:spPr>
              <a:ln w="12700">
                <a:solidFill>
                  <a:srgbClr val="000080"/>
                </a:solidFill>
              </a:ln>
            </c:spPr>
            <c:marker>
              <c:symbol val="square"/>
              <c:size val="3"/>
              <c:spPr>
                <a:solidFill>
                  <a:srgbClr val="FF0000"/>
                </a:solidFill>
                <a:ln>
                  <a:solidFill>
                    <a:srgbClr val="FF0000"/>
                  </a:solidFill>
                </a:ln>
              </c:spPr>
            </c:marker>
          </c:dPt>
          <c:xVal>
            <c:numRef>
              <c:f>Model!$B$16:$B$136</c:f>
              <c:numCache/>
            </c:numRef>
          </c:xVal>
          <c:yVal>
            <c:numRef>
              <c:f>Model!$L$16:$L$136</c:f>
              <c:numCache/>
            </c:numRef>
          </c:yVal>
          <c:smooth val="0"/>
        </c:ser>
        <c:axId val="57783982"/>
        <c:axId val="50293791"/>
      </c:scatterChart>
      <c:valAx>
        <c:axId val="57783982"/>
        <c:scaling>
          <c:orientation val="minMax"/>
          <c:max val="120"/>
          <c:min val="0"/>
        </c:scaling>
        <c:axPos val="b"/>
        <c:title>
          <c:tx>
            <c:rich>
              <a:bodyPr vert="horz" rot="0" anchor="ctr"/>
              <a:lstStyle/>
              <a:p>
                <a:pPr algn="ctr">
                  <a:defRPr/>
                </a:pPr>
                <a:r>
                  <a:rPr lang="en-US" cap="none" sz="950" b="0" i="0" u="none" baseline="0">
                    <a:solidFill>
                      <a:srgbClr val="000000"/>
                    </a:solidFill>
                    <a:latin typeface="Arial"/>
                    <a:ea typeface="Arial"/>
                    <a:cs typeface="Arial"/>
                  </a:rPr>
                  <a:t>Month</a:t>
                </a:r>
              </a:p>
            </c:rich>
          </c:tx>
          <c:layout>
            <c:manualLayout>
              <c:xMode val="factor"/>
              <c:yMode val="factor"/>
              <c:x val="0"/>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50293791"/>
        <c:crosses val="autoZero"/>
        <c:crossBetween val="midCat"/>
        <c:dispUnits/>
      </c:valAx>
      <c:valAx>
        <c:axId val="50293791"/>
        <c:scaling>
          <c:orientation val="minMax"/>
        </c:scaling>
        <c:axPos val="l"/>
        <c:title>
          <c:tx>
            <c:rich>
              <a:bodyPr vert="horz" rot="-5400000" anchor="ctr"/>
              <a:lstStyle/>
              <a:p>
                <a:pPr algn="ctr">
                  <a:defRPr/>
                </a:pPr>
                <a:r>
                  <a:rPr lang="en-US" cap="none" sz="950" b="0" i="0" u="none" baseline="0">
                    <a:solidFill>
                      <a:srgbClr val="000000"/>
                    </a:solidFill>
                    <a:latin typeface="Arial"/>
                    <a:ea typeface="Arial"/>
                    <a:cs typeface="Arial"/>
                  </a:rPr>
                  <a:t>Cash position $</a:t>
                </a:r>
              </a:p>
            </c:rich>
          </c:tx>
          <c:layout>
            <c:manualLayout>
              <c:xMode val="factor"/>
              <c:yMode val="factor"/>
              <c:x val="-0.002"/>
              <c:y val="0"/>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783982"/>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03475"/>
          <c:w val="0.9355"/>
          <c:h val="0.857"/>
        </c:manualLayout>
      </c:layout>
      <c:scatterChart>
        <c:scatterStyle val="lineMarker"/>
        <c:varyColors val="0"/>
        <c:ser>
          <c:idx val="0"/>
          <c:order val="0"/>
          <c:tx>
            <c:v>Stock</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Model!$B$16:$B$28</c:f>
              <c:numCache/>
            </c:numRef>
          </c:xVal>
          <c:yVal>
            <c:numRef>
              <c:f>Model!$C$16:$C$28</c:f>
              <c:numCache/>
            </c:numRef>
          </c:yVal>
          <c:smooth val="0"/>
        </c:ser>
        <c:ser>
          <c:idx val="1"/>
          <c:order val="1"/>
          <c:tx>
            <c:v>Sales</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Model!$B$16:$B$28</c:f>
              <c:numCache/>
            </c:numRef>
          </c:xVal>
          <c:yVal>
            <c:numRef>
              <c:f>Model!$E$16:$E$28</c:f>
              <c:numCache/>
            </c:numRef>
          </c:yVal>
          <c:smooth val="0"/>
        </c:ser>
        <c:axId val="49990936"/>
        <c:axId val="47265241"/>
      </c:scatterChart>
      <c:valAx>
        <c:axId val="49990936"/>
        <c:scaling>
          <c:orientation val="minMax"/>
          <c:max val="12"/>
        </c:scaling>
        <c:axPos val="b"/>
        <c:title>
          <c:tx>
            <c:rich>
              <a:bodyPr vert="horz" rot="0" anchor="ctr"/>
              <a:lstStyle/>
              <a:p>
                <a:pPr algn="ctr">
                  <a:defRPr/>
                </a:pPr>
                <a:r>
                  <a:rPr lang="en-US" cap="none" sz="800" b="1" i="0" u="none" baseline="0">
                    <a:solidFill>
                      <a:srgbClr val="000000"/>
                    </a:solidFill>
                    <a:latin typeface="Arial"/>
                    <a:ea typeface="Arial"/>
                    <a:cs typeface="Arial"/>
                  </a:rPr>
                  <a:t>Month of 1st year</a:t>
                </a:r>
              </a:p>
            </c:rich>
          </c:tx>
          <c:layout>
            <c:manualLayout>
              <c:xMode val="factor"/>
              <c:yMode val="factor"/>
              <c:x val="0"/>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7265241"/>
        <c:crosses val="autoZero"/>
        <c:crossBetween val="midCat"/>
        <c:dispUnits/>
      </c:valAx>
      <c:valAx>
        <c:axId val="47265241"/>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Tractors</a:t>
                </a:r>
              </a:p>
            </c:rich>
          </c:tx>
          <c:layout>
            <c:manualLayout>
              <c:xMode val="factor"/>
              <c:yMode val="factor"/>
              <c:x val="-0.002"/>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49990936"/>
        <c:crosses val="autoZero"/>
        <c:crossBetween val="midCat"/>
        <c:dispUnits/>
      </c:valAx>
      <c:spPr>
        <a:noFill/>
        <a:ln w="12700">
          <a:solidFill>
            <a:srgbClr val="808080"/>
          </a:solidFill>
        </a:ln>
      </c:spPr>
    </c:plotArea>
    <c:legend>
      <c:legendPos val="r"/>
      <c:layout>
        <c:manualLayout>
          <c:xMode val="edge"/>
          <c:yMode val="edge"/>
          <c:x val="0.497"/>
          <c:y val="0.098"/>
          <c:w val="0.09075"/>
          <c:h val="0.136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 Id="rId4"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4</xdr:row>
      <xdr:rowOff>76200</xdr:rowOff>
    </xdr:from>
    <xdr:to>
      <xdr:col>20</xdr:col>
      <xdr:colOff>771525</xdr:colOff>
      <xdr:row>11</xdr:row>
      <xdr:rowOff>38100</xdr:rowOff>
    </xdr:to>
    <xdr:sp>
      <xdr:nvSpPr>
        <xdr:cNvPr id="1" name="Text Box 1"/>
        <xdr:cNvSpPr txBox="1">
          <a:spLocks noChangeArrowheads="1"/>
        </xdr:cNvSpPr>
      </xdr:nvSpPr>
      <xdr:spPr>
        <a:xfrm>
          <a:off x="314325" y="1057275"/>
          <a:ext cx="16068675" cy="109537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Stock control example
</a:t>
          </a:r>
          <a:r>
            <a:rPr lang="en-US" cap="none" sz="1000" b="0" i="0" u="none" baseline="0">
              <a:solidFill>
                <a:srgbClr val="000000"/>
              </a:solidFill>
              <a:latin typeface="Arial"/>
              <a:ea typeface="Arial"/>
              <a:cs typeface="Arial"/>
            </a:rPr>
            <a:t>You are a tractor retailer that sells various models of farm tractors. The Model 12 is your best seller, costs you </a:t>
          </a:r>
          <a:r>
            <a:rPr lang="en-US" cap="none" sz="1000" b="1" i="0" u="none" baseline="0">
              <a:solidFill>
                <a:srgbClr val="000000"/>
              </a:solidFill>
              <a:latin typeface="Arial"/>
              <a:ea typeface="Arial"/>
              <a:cs typeface="Arial"/>
            </a:rPr>
            <a:t>$80,000</a:t>
          </a:r>
          <a:r>
            <a:rPr lang="en-US" cap="none" sz="1000" b="0" i="0" u="none" baseline="0">
              <a:solidFill>
                <a:srgbClr val="000000"/>
              </a:solidFill>
              <a:latin typeface="Arial"/>
              <a:ea typeface="Arial"/>
              <a:cs typeface="Arial"/>
            </a:rPr>
            <a:t> to buy, and you retail it at </a:t>
          </a:r>
          <a:r>
            <a:rPr lang="en-US" cap="none" sz="1000" b="1" i="0" u="none" baseline="0">
              <a:solidFill>
                <a:srgbClr val="000000"/>
              </a:solidFill>
              <a:latin typeface="Arial"/>
              <a:ea typeface="Arial"/>
              <a:cs typeface="Arial"/>
            </a:rPr>
            <a:t>$99,000</a:t>
          </a:r>
          <a:r>
            <a:rPr lang="en-US" cap="none" sz="1000" b="0" i="0" u="none" baseline="0">
              <a:solidFill>
                <a:srgbClr val="000000"/>
              </a:solidFill>
              <a:latin typeface="Arial"/>
              <a:ea typeface="Arial"/>
              <a:cs typeface="Arial"/>
            </a:rPr>
            <a:t>. You have orders of, on average, </a:t>
          </a:r>
          <a:r>
            <a:rPr lang="en-US" cap="none" sz="1000" b="1" i="0" u="none" baseline="0">
              <a:solidFill>
                <a:srgbClr val="000000"/>
              </a:solidFill>
              <a:latin typeface="Arial"/>
              <a:ea typeface="Arial"/>
              <a:cs typeface="Arial"/>
            </a:rPr>
            <a:t>2.7</a:t>
          </a:r>
          <a:r>
            <a:rPr lang="en-US" cap="none" sz="1000" b="0" i="0" u="none" baseline="0">
              <a:solidFill>
                <a:srgbClr val="000000"/>
              </a:solidFill>
              <a:latin typeface="Arial"/>
              <a:ea typeface="Arial"/>
              <a:cs typeface="Arial"/>
            </a:rPr>
            <a:t> a month, irrespective of the time of year (we could extend this to take care of seasonal variations if important). If you can’t meet the order, you know the potential client will buy from a competitor. Your current policy is to keep no more than </a:t>
          </a:r>
          <a:r>
            <a:rPr lang="en-US" cap="none" sz="1000" b="1" i="0" u="none" baseline="0">
              <a:solidFill>
                <a:srgbClr val="000000"/>
              </a:solidFill>
              <a:latin typeface="Arial"/>
              <a:ea typeface="Arial"/>
              <a:cs typeface="Arial"/>
            </a:rPr>
            <a:t>7</a:t>
          </a:r>
          <a:r>
            <a:rPr lang="en-US" cap="none" sz="1000" b="0" i="0" u="none" baseline="0">
              <a:solidFill>
                <a:srgbClr val="000000"/>
              </a:solidFill>
              <a:latin typeface="Arial"/>
              <a:ea typeface="Arial"/>
              <a:cs typeface="Arial"/>
            </a:rPr>
            <a:t> in stock. You take an inventory at the end of every month. If you have less than </a:t>
          </a:r>
          <a:r>
            <a:rPr lang="en-US" cap="none" sz="1000" b="1" i="0" u="none" baseline="0">
              <a:solidFill>
                <a:srgbClr val="000000"/>
              </a:solidFill>
              <a:latin typeface="Arial"/>
              <a:ea typeface="Arial"/>
              <a:cs typeface="Arial"/>
            </a:rPr>
            <a:t>3</a:t>
          </a:r>
          <a:r>
            <a:rPr lang="en-US" cap="none" sz="1000" b="0" i="0" u="none" baseline="0">
              <a:solidFill>
                <a:srgbClr val="000000"/>
              </a:solidFill>
              <a:latin typeface="Arial"/>
              <a:ea typeface="Arial"/>
              <a:cs typeface="Arial"/>
            </a:rPr>
            <a:t> in (stock + already ordered, but not received) you immediately order more to regain a stock of 7, but it takes </a:t>
          </a:r>
          <a:r>
            <a:rPr lang="en-US" cap="none" sz="1000" b="1" i="0" u="none" baseline="0">
              <a:solidFill>
                <a:srgbClr val="000000"/>
              </a:solidFill>
              <a:latin typeface="Arial"/>
              <a:ea typeface="Arial"/>
              <a:cs typeface="Arial"/>
            </a:rPr>
            <a:t>2</a:t>
          </a:r>
          <a:r>
            <a:rPr lang="en-US" cap="none" sz="1000" b="0" i="0" u="none" baseline="0">
              <a:solidFill>
                <a:srgbClr val="000000"/>
              </a:solidFill>
              <a:latin typeface="Arial"/>
              <a:ea typeface="Arial"/>
              <a:cs typeface="Arial"/>
            </a:rPr>
            <a:t> months to receive delivery. If you have more than 3 in stock, you don’t order any more. This month you have</a:t>
          </a:r>
          <a:r>
            <a:rPr lang="en-US" cap="none" sz="1000" b="1" i="0" u="none" baseline="0">
              <a:solidFill>
                <a:srgbClr val="000000"/>
              </a:solidFill>
              <a:latin typeface="Arial"/>
              <a:ea typeface="Arial"/>
              <a:cs typeface="Arial"/>
            </a:rPr>
            <a:t> 5</a:t>
          </a:r>
          <a:r>
            <a:rPr lang="en-US" cap="none" sz="1000" b="0" i="0" u="none" baseline="0">
              <a:solidFill>
                <a:srgbClr val="000000"/>
              </a:solidFill>
              <a:latin typeface="Arial"/>
              <a:ea typeface="Arial"/>
              <a:cs typeface="Arial"/>
            </a:rPr>
            <a:t> in stock, and </a:t>
          </a:r>
          <a:r>
            <a:rPr lang="en-US" cap="none" sz="1000" b="1" i="0" u="none" baseline="0">
              <a:solidFill>
                <a:srgbClr val="000000"/>
              </a:solidFill>
              <a:latin typeface="Arial"/>
              <a:ea typeface="Arial"/>
              <a:cs typeface="Arial"/>
            </a:rPr>
            <a:t>$200,000</a:t>
          </a:r>
          <a:r>
            <a:rPr lang="en-US" cap="none" sz="1000" b="0" i="0" u="none" baseline="0">
              <a:solidFill>
                <a:srgbClr val="000000"/>
              </a:solidFill>
              <a:latin typeface="Arial"/>
              <a:ea typeface="Arial"/>
              <a:cs typeface="Arial"/>
            </a:rPr>
            <a:t> in cash. The tax rate is </a:t>
          </a:r>
          <a:r>
            <a:rPr lang="en-US" cap="none" sz="1000" b="1" i="0" u="none" baseline="0">
              <a:solidFill>
                <a:srgbClr val="000000"/>
              </a:solidFill>
              <a:latin typeface="Arial"/>
              <a:ea typeface="Arial"/>
              <a:cs typeface="Arial"/>
            </a:rPr>
            <a:t>30%</a:t>
          </a:r>
          <a:r>
            <a:rPr lang="en-US" cap="none" sz="1000" b="0" i="0" u="none" baseline="0">
              <a:solidFill>
                <a:srgbClr val="000000"/>
              </a:solidFill>
              <a:latin typeface="Arial"/>
              <a:ea typeface="Arial"/>
              <a:cs typeface="Arial"/>
            </a:rPr>
            <a:t>. Monthly running costs (wages, rent of premises, etc) are </a:t>
          </a:r>
          <a:r>
            <a:rPr lang="en-US" cap="none" sz="1000" b="1" i="0" u="none" baseline="0">
              <a:solidFill>
                <a:srgbClr val="000000"/>
              </a:solidFill>
              <a:latin typeface="Arial"/>
              <a:ea typeface="Arial"/>
              <a:cs typeface="Arial"/>
            </a:rPr>
            <a:t>$28,000</a:t>
          </a:r>
          <a:r>
            <a:rPr lang="en-US" cap="none" sz="1000" b="0" i="0" u="none" baseline="0">
              <a:solidFill>
                <a:srgbClr val="000000"/>
              </a:solidFill>
              <a:latin typeface="Arial"/>
              <a:ea typeface="Arial"/>
              <a:cs typeface="Arial"/>
            </a:rPr>
            <a:t>. There is a cost of debt of </a:t>
          </a:r>
          <a:r>
            <a:rPr lang="en-US" cap="none" sz="1000" b="1" i="0" u="none" baseline="0">
              <a:solidFill>
                <a:srgbClr val="000000"/>
              </a:solidFill>
              <a:latin typeface="Arial"/>
              <a:ea typeface="Arial"/>
              <a:cs typeface="Arial"/>
            </a:rPr>
            <a:t>5%</a:t>
          </a:r>
          <a:r>
            <a:rPr lang="en-US" cap="none" sz="1000" b="0" i="0" u="none" baseline="0">
              <a:solidFill>
                <a:srgbClr val="000000"/>
              </a:solidFill>
              <a:latin typeface="Arial"/>
              <a:ea typeface="Arial"/>
              <a:cs typeface="Arial"/>
            </a:rPr>
            <a:t> per month if your cash position goes below zero. The owners receive dividends of </a:t>
          </a:r>
          <a:r>
            <a:rPr lang="en-US" cap="none" sz="1000" b="1" i="0" u="none" baseline="0">
              <a:solidFill>
                <a:srgbClr val="000000"/>
              </a:solidFill>
              <a:latin typeface="Arial"/>
              <a:ea typeface="Arial"/>
              <a:cs typeface="Arial"/>
            </a:rPr>
            <a:t>$10,000</a:t>
          </a:r>
          <a:r>
            <a:rPr lang="en-US" cap="none" sz="1000" b="0" i="0" u="none" baseline="0">
              <a:solidFill>
                <a:srgbClr val="000000"/>
              </a:solidFill>
              <a:latin typeface="Arial"/>
              <a:ea typeface="Arial"/>
              <a:cs typeface="Arial"/>
            </a:rPr>
            <a:t> per month provided there is money in the account.  </a:t>
          </a:r>
          <a:r>
            <a:rPr lang="en-US" cap="none" sz="1000" b="0" i="0" u="none" baseline="0">
              <a:solidFill>
                <a:srgbClr val="FF0000"/>
              </a:solidFill>
              <a:latin typeface="Arial"/>
              <a:ea typeface="Arial"/>
              <a:cs typeface="Arial"/>
            </a:rPr>
            <a:t>What does your future cash position profile look like? In particular, what is the maximum debt facility you should maintain? Does this policy maximise your long-term profit? What, if any, changes to your inventory policy would improve your finances?</a:t>
          </a:r>
          <a:r>
            <a:rPr lang="en-US" cap="none" sz="1000" b="0" i="0" u="none" baseline="0">
              <a:solidFill>
                <a:srgbClr val="000000"/>
              </a:solidFill>
              <a:latin typeface="Arial"/>
              <a:ea typeface="Arial"/>
              <a:cs typeface="Arial"/>
            </a:rPr>
            <a:t>
</a:t>
          </a:r>
        </a:p>
      </xdr:txBody>
    </xdr:sp>
    <xdr:clientData/>
  </xdr:twoCellAnchor>
  <xdr:twoCellAnchor>
    <xdr:from>
      <xdr:col>4</xdr:col>
      <xdr:colOff>152400</xdr:colOff>
      <xdr:row>44</xdr:row>
      <xdr:rowOff>104775</xdr:rowOff>
    </xdr:from>
    <xdr:to>
      <xdr:col>13</xdr:col>
      <xdr:colOff>9525</xdr:colOff>
      <xdr:row>63</xdr:row>
      <xdr:rowOff>9525</xdr:rowOff>
    </xdr:to>
    <xdr:graphicFrame>
      <xdr:nvGraphicFramePr>
        <xdr:cNvPr id="2" name="Chart 26"/>
        <xdr:cNvGraphicFramePr/>
      </xdr:nvGraphicFramePr>
      <xdr:xfrm>
        <a:off x="2181225" y="7820025"/>
        <a:ext cx="6696075" cy="2981325"/>
      </xdr:xfrm>
      <a:graphic>
        <a:graphicData uri="http://schemas.openxmlformats.org/drawingml/2006/chart">
          <c:chart xmlns:c="http://schemas.openxmlformats.org/drawingml/2006/chart" r:id="rId1"/>
        </a:graphicData>
      </a:graphic>
    </xdr:graphicFrame>
    <xdr:clientData/>
  </xdr:twoCellAnchor>
  <xdr:twoCellAnchor>
    <xdr:from>
      <xdr:col>4</xdr:col>
      <xdr:colOff>142875</xdr:colOff>
      <xdr:row>63</xdr:row>
      <xdr:rowOff>133350</xdr:rowOff>
    </xdr:from>
    <xdr:to>
      <xdr:col>13</xdr:col>
      <xdr:colOff>0</xdr:colOff>
      <xdr:row>81</xdr:row>
      <xdr:rowOff>28575</xdr:rowOff>
    </xdr:to>
    <xdr:graphicFrame>
      <xdr:nvGraphicFramePr>
        <xdr:cNvPr id="3" name="Chart 308"/>
        <xdr:cNvGraphicFramePr/>
      </xdr:nvGraphicFramePr>
      <xdr:xfrm>
        <a:off x="2171700" y="10925175"/>
        <a:ext cx="6696075" cy="28098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104775</xdr:colOff>
      <xdr:row>0</xdr:row>
      <xdr:rowOff>57150</xdr:rowOff>
    </xdr:from>
    <xdr:to>
      <xdr:col>4</xdr:col>
      <xdr:colOff>514350</xdr:colOff>
      <xdr:row>3</xdr:row>
      <xdr:rowOff>66675</xdr:rowOff>
    </xdr:to>
    <xdr:pic>
      <xdr:nvPicPr>
        <xdr:cNvPr id="4" name="Picture 4" descr="vose software logo.bmp"/>
        <xdr:cNvPicPr preferRelativeResize="1">
          <a:picLocks noChangeAspect="1"/>
        </xdr:cNvPicPr>
      </xdr:nvPicPr>
      <xdr:blipFill>
        <a:blip r:embed="rId3"/>
        <a:stretch>
          <a:fillRect/>
        </a:stretch>
      </xdr:blipFill>
      <xdr:spPr>
        <a:xfrm>
          <a:off x="104775" y="57150"/>
          <a:ext cx="2438400" cy="828675"/>
        </a:xfrm>
        <a:prstGeom prst="rect">
          <a:avLst/>
        </a:prstGeom>
        <a:noFill/>
        <a:ln w="3175" cmpd="sng">
          <a:solidFill>
            <a:srgbClr val="17375E"/>
          </a:solidFill>
          <a:headEnd type="none"/>
          <a:tailEnd type="none"/>
        </a:ln>
      </xdr:spPr>
    </xdr:pic>
    <xdr:clientData/>
  </xdr:twoCellAnchor>
  <xdr:twoCellAnchor editAs="oneCell">
    <xdr:from>
      <xdr:col>0</xdr:col>
      <xdr:colOff>0</xdr:colOff>
      <xdr:row>3</xdr:row>
      <xdr:rowOff>0</xdr:rowOff>
    </xdr:from>
    <xdr:to>
      <xdr:col>0</xdr:col>
      <xdr:colOff>9525</xdr:colOff>
      <xdr:row>3</xdr:row>
      <xdr:rowOff>9525</xdr:rowOff>
    </xdr:to>
    <xdr:pic>
      <xdr:nvPicPr>
        <xdr:cNvPr id="5" name="CB_00000000000000000000000000000000" hidden="1"/>
        <xdr:cNvPicPr preferRelativeResize="1">
          <a:picLocks noChangeAspect="1"/>
        </xdr:cNvPicPr>
      </xdr:nvPicPr>
      <xdr:blipFill>
        <a:blip r:embed="rId4"/>
        <a:stretch>
          <a:fillRect/>
        </a:stretch>
      </xdr:blipFill>
      <xdr:spPr>
        <a:xfrm>
          <a:off x="0" y="819150"/>
          <a:ext cx="9525" cy="9525"/>
        </a:xfrm>
        <a:prstGeom prst="rect">
          <a:avLst/>
        </a:prstGeom>
        <a:noFill/>
        <a:ln w="9525" cmpd="sng">
          <a:noFill/>
        </a:ln>
      </xdr:spPr>
    </xdr:pic>
    <xdr:clientData/>
  </xdr:twoCellAnchor>
  <xdr:twoCellAnchor editAs="oneCell">
    <xdr:from>
      <xdr:col>0</xdr:col>
      <xdr:colOff>0</xdr:colOff>
      <xdr:row>3</xdr:row>
      <xdr:rowOff>0</xdr:rowOff>
    </xdr:from>
    <xdr:to>
      <xdr:col>0</xdr:col>
      <xdr:colOff>9525</xdr:colOff>
      <xdr:row>3</xdr:row>
      <xdr:rowOff>9525</xdr:rowOff>
    </xdr:to>
    <xdr:pic>
      <xdr:nvPicPr>
        <xdr:cNvPr id="6" name="CB_00000000000000000000000000000001" hidden="1"/>
        <xdr:cNvPicPr preferRelativeResize="1">
          <a:picLocks noChangeAspect="1"/>
        </xdr:cNvPicPr>
      </xdr:nvPicPr>
      <xdr:blipFill>
        <a:blip r:embed="rId4"/>
        <a:stretch>
          <a:fillRect/>
        </a:stretch>
      </xdr:blipFill>
      <xdr:spPr>
        <a:xfrm>
          <a:off x="0" y="819150"/>
          <a:ext cx="9525" cy="9525"/>
        </a:xfrm>
        <a:prstGeom prst="rect">
          <a:avLst/>
        </a:prstGeom>
        <a:noFill/>
        <a:ln w="9525" cmpd="sng">
          <a:noFill/>
        </a:ln>
      </xdr:spPr>
    </xdr:pic>
    <xdr:clientData/>
  </xdr:twoCellAnchor>
  <xdr:twoCellAnchor editAs="oneCell">
    <xdr:from>
      <xdr:col>0</xdr:col>
      <xdr:colOff>0</xdr:colOff>
      <xdr:row>3</xdr:row>
      <xdr:rowOff>0</xdr:rowOff>
    </xdr:from>
    <xdr:to>
      <xdr:col>0</xdr:col>
      <xdr:colOff>9525</xdr:colOff>
      <xdr:row>3</xdr:row>
      <xdr:rowOff>9525</xdr:rowOff>
    </xdr:to>
    <xdr:pic>
      <xdr:nvPicPr>
        <xdr:cNvPr id="7" name="CB_00000000000000000000000000000003" hidden="1"/>
        <xdr:cNvPicPr preferRelativeResize="1">
          <a:picLocks noChangeAspect="1"/>
        </xdr:cNvPicPr>
      </xdr:nvPicPr>
      <xdr:blipFill>
        <a:blip r:embed="rId4"/>
        <a:stretch>
          <a:fillRect/>
        </a:stretch>
      </xdr:blipFill>
      <xdr:spPr>
        <a:xfrm>
          <a:off x="0" y="81915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dimension ref="A2:S136"/>
  <sheetViews>
    <sheetView tabSelected="1" zoomScale="85" zoomScaleNormal="85" zoomScalePageLayoutView="0" workbookViewId="0" topLeftCell="A1">
      <selection activeCell="O37" sqref="O37"/>
    </sheetView>
  </sheetViews>
  <sheetFormatPr defaultColWidth="9.140625" defaultRowHeight="12.75"/>
  <cols>
    <col min="1" max="1" width="3.00390625" style="0" customWidth="1"/>
    <col min="6" max="6" width="13.7109375" style="0" bestFit="1" customWidth="1"/>
    <col min="8" max="9" width="11.00390625" style="0" customWidth="1"/>
    <col min="11" max="11" width="17.140625" style="0" customWidth="1"/>
    <col min="12" max="12" width="17.7109375" style="0" customWidth="1"/>
    <col min="13" max="13" width="4.57421875" style="0" customWidth="1"/>
    <col min="14" max="14" width="20.28125" style="0" customWidth="1"/>
    <col min="15" max="15" width="10.57421875" style="0" bestFit="1" customWidth="1"/>
    <col min="16" max="16" width="16.28125" style="0" bestFit="1" customWidth="1"/>
    <col min="18" max="18" width="16.00390625" style="0" customWidth="1"/>
    <col min="19" max="19" width="14.7109375" style="0" bestFit="1" customWidth="1"/>
    <col min="20" max="20" width="14.140625" style="0" bestFit="1" customWidth="1"/>
    <col min="21" max="21" width="13.140625" style="0" customWidth="1"/>
  </cols>
  <sheetData>
    <row r="2" ht="39" customHeight="1">
      <c r="F2" s="24" t="s">
        <v>30</v>
      </c>
    </row>
    <row r="14" spans="1:12" ht="33" customHeight="1">
      <c r="A14" s="8"/>
      <c r="B14" s="9" t="s">
        <v>1</v>
      </c>
      <c r="C14" s="9" t="s">
        <v>0</v>
      </c>
      <c r="D14" s="9" t="s">
        <v>31</v>
      </c>
      <c r="E14" s="9" t="s">
        <v>2</v>
      </c>
      <c r="F14" s="9" t="s">
        <v>3</v>
      </c>
      <c r="G14" s="9" t="s">
        <v>17</v>
      </c>
      <c r="H14" s="9" t="s">
        <v>20</v>
      </c>
      <c r="I14" s="9" t="s">
        <v>26</v>
      </c>
      <c r="J14" s="9" t="s">
        <v>18</v>
      </c>
      <c r="K14" s="9" t="s">
        <v>21</v>
      </c>
      <c r="L14" s="9" t="s">
        <v>29</v>
      </c>
    </row>
    <row r="15" spans="1:16" ht="12.75">
      <c r="A15" s="8"/>
      <c r="B15">
        <v>-1</v>
      </c>
      <c r="C15" s="8"/>
      <c r="D15" s="8"/>
      <c r="E15" s="8"/>
      <c r="F15" s="8"/>
      <c r="G15" s="7">
        <v>0</v>
      </c>
      <c r="H15" s="8"/>
      <c r="I15" s="8"/>
      <c r="J15" s="8"/>
      <c r="K15" s="8"/>
      <c r="L15" s="8"/>
      <c r="N15" s="30" t="s">
        <v>13</v>
      </c>
      <c r="O15" s="31"/>
      <c r="P15" s="32"/>
    </row>
    <row r="16" spans="2:16" ht="12.75">
      <c r="B16">
        <v>0</v>
      </c>
      <c r="C16" s="7">
        <f>InitialStock</f>
        <v>5</v>
      </c>
      <c r="D16" s="7">
        <v>0</v>
      </c>
      <c r="E16" s="7">
        <v>0</v>
      </c>
      <c r="F16" s="7">
        <f aca="true" t="shared" si="0" ref="F16:F47">C16-E16</f>
        <v>5</v>
      </c>
      <c r="G16" s="7">
        <f>IF(F16&lt;MinimumStock,MaximumStock-F16-G15,0)</f>
        <v>0</v>
      </c>
      <c r="H16" s="21">
        <f>InitialCash-G16*PurchasePrice</f>
        <v>200000</v>
      </c>
      <c r="I16" s="21"/>
      <c r="J16" s="7"/>
      <c r="K16" s="7"/>
      <c r="L16" s="7"/>
      <c r="N16" s="1" t="s">
        <v>15</v>
      </c>
      <c r="O16" s="12">
        <v>80000</v>
      </c>
      <c r="P16" s="2"/>
    </row>
    <row r="17" spans="2:16" ht="12.75">
      <c r="B17">
        <v>1</v>
      </c>
      <c r="C17">
        <f aca="true" t="shared" si="1" ref="C17:C48">C16-E16+G15</f>
        <v>5</v>
      </c>
      <c r="D17" s="28">
        <f>_XLL.VOSEPOISSON(AvgSalesRate)</f>
        <v>3</v>
      </c>
      <c r="E17">
        <f>MIN(D17,C17)</f>
        <v>3</v>
      </c>
      <c r="F17">
        <f t="shared" si="0"/>
        <v>2</v>
      </c>
      <c r="G17">
        <f aca="true" t="shared" si="2" ref="G17:G48">IF(F17+G16&lt;MinimumStock,MaximumStock-F17-G16,0)</f>
        <v>13</v>
      </c>
      <c r="H17" s="20">
        <f>H16+E17*SalePrice-G17*PurchasePrice-MonthlyCosts</f>
        <v>-571000</v>
      </c>
      <c r="I17" s="20">
        <f aca="true" t="shared" si="3" ref="I17:I48">IF(H17&lt;0,-H17*CostOfDebt,0)</f>
        <v>11420</v>
      </c>
      <c r="J17" s="18">
        <f aca="true" t="shared" si="4" ref="J17:J48">IF(AND(MOD(B17,12)=0,SUM(E6:E17)*(SalePrice-PurchasePrice)-SUM(I6:I17)-12*MonthlyCosts&gt;0),(SUM(E6:E17)*(SalePrice-PurchasePrice)-SUM(I6:I17)-12*MonthlyCosts)*TaxRate,0)</f>
        <v>0</v>
      </c>
      <c r="K17" s="20">
        <f>H17-J17-I17</f>
        <v>-582420</v>
      </c>
      <c r="L17" s="20">
        <f aca="true" t="shared" si="5" ref="L17:L48">K17-IF(K17&gt;dividends,dividends,0)</f>
        <v>-582420</v>
      </c>
      <c r="M17" s="23"/>
      <c r="N17" s="3" t="s">
        <v>16</v>
      </c>
      <c r="O17" s="13">
        <v>99000</v>
      </c>
      <c r="P17" s="4"/>
    </row>
    <row r="18" spans="2:16" ht="12.75">
      <c r="B18">
        <v>2</v>
      </c>
      <c r="C18">
        <f t="shared" si="1"/>
        <v>2</v>
      </c>
      <c r="D18" s="28">
        <f>_XLL.VOSEPOISSON(AvgSalesRate)</f>
        <v>1</v>
      </c>
      <c r="E18">
        <f aca="true" t="shared" si="6" ref="E18:E81">MIN(D18,C18)</f>
        <v>1</v>
      </c>
      <c r="F18">
        <f t="shared" si="0"/>
        <v>1</v>
      </c>
      <c r="G18">
        <f t="shared" si="2"/>
        <v>0</v>
      </c>
      <c r="H18" s="20">
        <f aca="true" t="shared" si="7" ref="H18:H49">L17+E18*SalePrice-G18*PurchasePrice-MonthlyCosts</f>
        <v>-511420</v>
      </c>
      <c r="I18" s="20">
        <f t="shared" si="3"/>
        <v>10228.4</v>
      </c>
      <c r="J18" s="18">
        <f t="shared" si="4"/>
        <v>0</v>
      </c>
      <c r="K18" s="20">
        <f aca="true" t="shared" si="8" ref="K18:K81">H18-J18-I18</f>
        <v>-521648.4</v>
      </c>
      <c r="L18" s="20">
        <f t="shared" si="5"/>
        <v>-521648.4</v>
      </c>
      <c r="M18" s="23"/>
      <c r="N18" s="3" t="s">
        <v>4</v>
      </c>
      <c r="O18" s="14">
        <v>2.7</v>
      </c>
      <c r="P18" s="4" t="s">
        <v>7</v>
      </c>
    </row>
    <row r="19" spans="2:16" ht="12.75">
      <c r="B19">
        <v>3</v>
      </c>
      <c r="C19">
        <f t="shared" si="1"/>
        <v>14</v>
      </c>
      <c r="D19" s="28">
        <f>_XLL.VOSEPOISSON(AvgSalesRate)</f>
        <v>3</v>
      </c>
      <c r="E19">
        <f t="shared" si="6"/>
        <v>3</v>
      </c>
      <c r="F19">
        <f t="shared" si="0"/>
        <v>11</v>
      </c>
      <c r="G19">
        <f t="shared" si="2"/>
        <v>0</v>
      </c>
      <c r="H19" s="20">
        <f t="shared" si="7"/>
        <v>-252648.40000000002</v>
      </c>
      <c r="I19" s="20">
        <f t="shared" si="3"/>
        <v>5052.968000000001</v>
      </c>
      <c r="J19" s="18">
        <f t="shared" si="4"/>
        <v>0</v>
      </c>
      <c r="K19" s="20">
        <f t="shared" si="8"/>
        <v>-257701.36800000002</v>
      </c>
      <c r="L19" s="20">
        <f t="shared" si="5"/>
        <v>-257701.36800000002</v>
      </c>
      <c r="M19" s="23"/>
      <c r="N19" s="3" t="s">
        <v>32</v>
      </c>
      <c r="O19" s="15">
        <v>15</v>
      </c>
      <c r="P19" s="4" t="s">
        <v>6</v>
      </c>
    </row>
    <row r="20" spans="2:16" ht="12.75">
      <c r="B20">
        <v>4</v>
      </c>
      <c r="C20">
        <f t="shared" si="1"/>
        <v>11</v>
      </c>
      <c r="D20" s="28">
        <f>_XLL.VOSEPOISSON(AvgSalesRate)</f>
        <v>2</v>
      </c>
      <c r="E20">
        <f t="shared" si="6"/>
        <v>2</v>
      </c>
      <c r="F20">
        <f t="shared" si="0"/>
        <v>9</v>
      </c>
      <c r="G20">
        <f t="shared" si="2"/>
        <v>0</v>
      </c>
      <c r="H20" s="20">
        <f t="shared" si="7"/>
        <v>-87701.36800000002</v>
      </c>
      <c r="I20" s="20">
        <f t="shared" si="3"/>
        <v>1754.0273600000003</v>
      </c>
      <c r="J20" s="18">
        <f t="shared" si="4"/>
        <v>0</v>
      </c>
      <c r="K20" s="20">
        <f t="shared" si="8"/>
        <v>-89455.39536000002</v>
      </c>
      <c r="L20" s="20">
        <f t="shared" si="5"/>
        <v>-89455.39536000002</v>
      </c>
      <c r="M20" s="23"/>
      <c r="N20" s="3" t="s">
        <v>33</v>
      </c>
      <c r="O20" s="15">
        <v>5</v>
      </c>
      <c r="P20" s="4" t="s">
        <v>6</v>
      </c>
    </row>
    <row r="21" spans="2:16" ht="12.75">
      <c r="B21">
        <v>5</v>
      </c>
      <c r="C21">
        <f t="shared" si="1"/>
        <v>9</v>
      </c>
      <c r="D21" s="28">
        <f>_XLL.VOSEPOISSON(AvgSalesRate)</f>
        <v>4</v>
      </c>
      <c r="E21">
        <f t="shared" si="6"/>
        <v>4</v>
      </c>
      <c r="F21">
        <f t="shared" si="0"/>
        <v>5</v>
      </c>
      <c r="G21">
        <f t="shared" si="2"/>
        <v>0</v>
      </c>
      <c r="H21" s="20">
        <f t="shared" si="7"/>
        <v>278544.60464</v>
      </c>
      <c r="I21" s="20">
        <f t="shared" si="3"/>
        <v>0</v>
      </c>
      <c r="J21" s="18">
        <f t="shared" si="4"/>
        <v>0</v>
      </c>
      <c r="K21" s="20">
        <f t="shared" si="8"/>
        <v>278544.60464</v>
      </c>
      <c r="L21" s="20">
        <f t="shared" si="5"/>
        <v>270544.60464</v>
      </c>
      <c r="M21" s="23"/>
      <c r="N21" s="3" t="s">
        <v>11</v>
      </c>
      <c r="O21" s="14">
        <v>5</v>
      </c>
      <c r="P21" s="11"/>
    </row>
    <row r="22" spans="2:16" ht="12.75">
      <c r="B22">
        <v>6</v>
      </c>
      <c r="C22">
        <f t="shared" si="1"/>
        <v>5</v>
      </c>
      <c r="D22" s="28">
        <f>_XLL.VOSEPOISSON(AvgSalesRate)</f>
        <v>3</v>
      </c>
      <c r="E22">
        <f t="shared" si="6"/>
        <v>3</v>
      </c>
      <c r="F22">
        <f t="shared" si="0"/>
        <v>2</v>
      </c>
      <c r="G22">
        <f t="shared" si="2"/>
        <v>13</v>
      </c>
      <c r="H22" s="20">
        <f t="shared" si="7"/>
        <v>-500455.39535999997</v>
      </c>
      <c r="I22" s="20">
        <f t="shared" si="3"/>
        <v>10009.1079072</v>
      </c>
      <c r="J22" s="18">
        <f t="shared" si="4"/>
        <v>0</v>
      </c>
      <c r="K22" s="20">
        <f t="shared" si="8"/>
        <v>-510464.50326719997</v>
      </c>
      <c r="L22" s="20">
        <f t="shared" si="5"/>
        <v>-510464.50326719997</v>
      </c>
      <c r="M22" s="23"/>
      <c r="N22" s="10" t="s">
        <v>24</v>
      </c>
      <c r="O22" s="15">
        <v>28000</v>
      </c>
      <c r="P22" s="4"/>
    </row>
    <row r="23" spans="2:16" ht="12.75">
      <c r="B23">
        <v>7</v>
      </c>
      <c r="C23">
        <f t="shared" si="1"/>
        <v>2</v>
      </c>
      <c r="D23" s="28">
        <f>_XLL.VOSEPOISSON(AvgSalesRate)</f>
        <v>3</v>
      </c>
      <c r="E23">
        <f t="shared" si="6"/>
        <v>2</v>
      </c>
      <c r="F23">
        <f t="shared" si="0"/>
        <v>0</v>
      </c>
      <c r="G23">
        <f t="shared" si="2"/>
        <v>0</v>
      </c>
      <c r="H23" s="20">
        <f t="shared" si="7"/>
        <v>-340464.50326719997</v>
      </c>
      <c r="I23" s="20">
        <f t="shared" si="3"/>
        <v>6809.290065343999</v>
      </c>
      <c r="J23" s="18">
        <f t="shared" si="4"/>
        <v>0</v>
      </c>
      <c r="K23" s="20">
        <f t="shared" si="8"/>
        <v>-347273.793332544</v>
      </c>
      <c r="L23" s="20">
        <f t="shared" si="5"/>
        <v>-347273.793332544</v>
      </c>
      <c r="M23" s="23"/>
      <c r="N23" s="10" t="s">
        <v>19</v>
      </c>
      <c r="O23" s="19">
        <v>0.3</v>
      </c>
      <c r="P23" s="4"/>
    </row>
    <row r="24" spans="2:16" ht="12.75">
      <c r="B24">
        <v>8</v>
      </c>
      <c r="C24">
        <f t="shared" si="1"/>
        <v>13</v>
      </c>
      <c r="D24" s="28">
        <f>_XLL.VOSEPOISSON(AvgSalesRate)</f>
        <v>5</v>
      </c>
      <c r="E24">
        <f t="shared" si="6"/>
        <v>5</v>
      </c>
      <c r="F24">
        <f t="shared" si="0"/>
        <v>8</v>
      </c>
      <c r="G24">
        <f t="shared" si="2"/>
        <v>0</v>
      </c>
      <c r="H24" s="20">
        <f t="shared" si="7"/>
        <v>119726.20666745602</v>
      </c>
      <c r="I24" s="20">
        <f t="shared" si="3"/>
        <v>0</v>
      </c>
      <c r="J24" s="18">
        <f t="shared" si="4"/>
        <v>0</v>
      </c>
      <c r="K24" s="20">
        <f t="shared" si="8"/>
        <v>119726.20666745602</v>
      </c>
      <c r="L24" s="20">
        <f t="shared" si="5"/>
        <v>111726.20666745602</v>
      </c>
      <c r="M24" s="23"/>
      <c r="N24" s="10" t="s">
        <v>26</v>
      </c>
      <c r="O24" s="22">
        <v>0.02</v>
      </c>
      <c r="P24" s="4" t="s">
        <v>27</v>
      </c>
    </row>
    <row r="25" spans="2:16" ht="12.75">
      <c r="B25">
        <v>9</v>
      </c>
      <c r="C25">
        <f t="shared" si="1"/>
        <v>8</v>
      </c>
      <c r="D25" s="28">
        <f>_XLL.VOSEPOISSON(AvgSalesRate)</f>
        <v>2</v>
      </c>
      <c r="E25">
        <f t="shared" si="6"/>
        <v>2</v>
      </c>
      <c r="F25">
        <f t="shared" si="0"/>
        <v>6</v>
      </c>
      <c r="G25">
        <f t="shared" si="2"/>
        <v>0</v>
      </c>
      <c r="H25" s="20">
        <f t="shared" si="7"/>
        <v>281726.206667456</v>
      </c>
      <c r="I25" s="20">
        <f t="shared" si="3"/>
        <v>0</v>
      </c>
      <c r="J25" s="18">
        <f t="shared" si="4"/>
        <v>0</v>
      </c>
      <c r="K25" s="20">
        <f t="shared" si="8"/>
        <v>281726.206667456</v>
      </c>
      <c r="L25" s="20">
        <f t="shared" si="5"/>
        <v>273726.206667456</v>
      </c>
      <c r="M25" s="23"/>
      <c r="N25" s="10" t="s">
        <v>28</v>
      </c>
      <c r="O25" s="13">
        <v>8000</v>
      </c>
      <c r="P25" s="4" t="s">
        <v>27</v>
      </c>
    </row>
    <row r="26" spans="2:16" ht="12.75">
      <c r="B26">
        <v>10</v>
      </c>
      <c r="C26">
        <f t="shared" si="1"/>
        <v>6</v>
      </c>
      <c r="D26" s="28">
        <f>_XLL.VOSEPOISSON(AvgSalesRate)</f>
        <v>3</v>
      </c>
      <c r="E26">
        <f t="shared" si="6"/>
        <v>3</v>
      </c>
      <c r="F26">
        <f t="shared" si="0"/>
        <v>3</v>
      </c>
      <c r="G26">
        <f t="shared" si="2"/>
        <v>12</v>
      </c>
      <c r="H26" s="20">
        <f t="shared" si="7"/>
        <v>-417273.7933325439</v>
      </c>
      <c r="I26" s="20">
        <f t="shared" si="3"/>
        <v>8345.475866650879</v>
      </c>
      <c r="J26" s="18">
        <f t="shared" si="4"/>
        <v>0</v>
      </c>
      <c r="K26" s="20">
        <f t="shared" si="8"/>
        <v>-425619.2691991948</v>
      </c>
      <c r="L26" s="20">
        <f t="shared" si="5"/>
        <v>-425619.2691991948</v>
      </c>
      <c r="M26" s="23"/>
      <c r="N26" s="6" t="s">
        <v>14</v>
      </c>
      <c r="O26" s="16">
        <v>200000</v>
      </c>
      <c r="P26" s="5"/>
    </row>
    <row r="27" spans="2:13" ht="12.75">
      <c r="B27">
        <v>11</v>
      </c>
      <c r="C27">
        <f t="shared" si="1"/>
        <v>3</v>
      </c>
      <c r="D27" s="28">
        <f>_XLL.VOSEPOISSON(AvgSalesRate)</f>
        <v>2</v>
      </c>
      <c r="E27">
        <f t="shared" si="6"/>
        <v>2</v>
      </c>
      <c r="F27">
        <f t="shared" si="0"/>
        <v>1</v>
      </c>
      <c r="G27">
        <f t="shared" si="2"/>
        <v>0</v>
      </c>
      <c r="H27" s="20">
        <f t="shared" si="7"/>
        <v>-255619.2691991948</v>
      </c>
      <c r="I27" s="20">
        <f t="shared" si="3"/>
        <v>5112.385383983896</v>
      </c>
      <c r="J27" s="18">
        <f t="shared" si="4"/>
        <v>0</v>
      </c>
      <c r="K27" s="20">
        <f t="shared" si="8"/>
        <v>-260731.6545831787</v>
      </c>
      <c r="L27" s="20">
        <f t="shared" si="5"/>
        <v>-260731.6545831787</v>
      </c>
      <c r="M27" s="23"/>
    </row>
    <row r="28" spans="2:13" ht="12.75">
      <c r="B28">
        <v>12</v>
      </c>
      <c r="C28">
        <f t="shared" si="1"/>
        <v>13</v>
      </c>
      <c r="D28" s="28">
        <f>_XLL.VOSEPOISSON(AvgSalesRate)</f>
        <v>1</v>
      </c>
      <c r="E28">
        <f t="shared" si="6"/>
        <v>1</v>
      </c>
      <c r="F28">
        <f t="shared" si="0"/>
        <v>12</v>
      </c>
      <c r="G28">
        <f t="shared" si="2"/>
        <v>0</v>
      </c>
      <c r="H28" s="20">
        <f t="shared" si="7"/>
        <v>-189731.6545831787</v>
      </c>
      <c r="I28" s="20">
        <f t="shared" si="3"/>
        <v>3794.633091663574</v>
      </c>
      <c r="J28" s="18">
        <f t="shared" si="4"/>
        <v>57142.11369754728</v>
      </c>
      <c r="K28" s="20">
        <f t="shared" si="8"/>
        <v>-250668.40137238955</v>
      </c>
      <c r="L28" s="20">
        <f t="shared" si="5"/>
        <v>-250668.40137238955</v>
      </c>
      <c r="M28" s="23"/>
    </row>
    <row r="29" spans="2:19" ht="12.75">
      <c r="B29">
        <v>13</v>
      </c>
      <c r="C29">
        <f t="shared" si="1"/>
        <v>12</v>
      </c>
      <c r="D29" s="28">
        <f>_XLL.VOSEPOISSON(AvgSalesRate)</f>
        <v>4</v>
      </c>
      <c r="E29">
        <f t="shared" si="6"/>
        <v>4</v>
      </c>
      <c r="F29">
        <f t="shared" si="0"/>
        <v>8</v>
      </c>
      <c r="G29">
        <f t="shared" si="2"/>
        <v>0</v>
      </c>
      <c r="H29" s="20">
        <f t="shared" si="7"/>
        <v>117331.59862761045</v>
      </c>
      <c r="I29" s="20">
        <f t="shared" si="3"/>
        <v>0</v>
      </c>
      <c r="J29" s="18">
        <f t="shared" si="4"/>
        <v>0</v>
      </c>
      <c r="K29" s="20">
        <f t="shared" si="8"/>
        <v>117331.59862761045</v>
      </c>
      <c r="L29" s="20">
        <f t="shared" si="5"/>
        <v>109331.59862761045</v>
      </c>
      <c r="M29" s="23"/>
      <c r="N29" s="25" t="s">
        <v>5</v>
      </c>
      <c r="O29" s="26">
        <v>15</v>
      </c>
      <c r="P29" s="25" t="s">
        <v>6</v>
      </c>
      <c r="S29" s="27"/>
    </row>
    <row r="30" spans="2:16" ht="12.75">
      <c r="B30">
        <v>14</v>
      </c>
      <c r="C30">
        <f t="shared" si="1"/>
        <v>8</v>
      </c>
      <c r="D30" s="28">
        <f>_XLL.VOSEPOISSON(AvgSalesRate)</f>
        <v>3</v>
      </c>
      <c r="E30">
        <f t="shared" si="6"/>
        <v>3</v>
      </c>
      <c r="F30">
        <f t="shared" si="0"/>
        <v>5</v>
      </c>
      <c r="G30">
        <f t="shared" si="2"/>
        <v>0</v>
      </c>
      <c r="H30" s="20">
        <f t="shared" si="7"/>
        <v>378331.5986276105</v>
      </c>
      <c r="I30" s="20">
        <f t="shared" si="3"/>
        <v>0</v>
      </c>
      <c r="J30" s="18">
        <f t="shared" si="4"/>
        <v>0</v>
      </c>
      <c r="K30" s="20">
        <f t="shared" si="8"/>
        <v>378331.5986276105</v>
      </c>
      <c r="L30" s="20">
        <f t="shared" si="5"/>
        <v>370331.5986276105</v>
      </c>
      <c r="M30" s="23"/>
      <c r="N30" s="25" t="s">
        <v>8</v>
      </c>
      <c r="O30" s="26">
        <v>5</v>
      </c>
      <c r="P30" s="25" t="s">
        <v>6</v>
      </c>
    </row>
    <row r="31" spans="2:13" ht="12.75">
      <c r="B31">
        <v>15</v>
      </c>
      <c r="C31">
        <f t="shared" si="1"/>
        <v>5</v>
      </c>
      <c r="D31" s="28">
        <f>_XLL.VOSEPOISSON(AvgSalesRate)</f>
        <v>3</v>
      </c>
      <c r="E31">
        <f t="shared" si="6"/>
        <v>3</v>
      </c>
      <c r="F31">
        <f t="shared" si="0"/>
        <v>2</v>
      </c>
      <c r="G31">
        <f t="shared" si="2"/>
        <v>13</v>
      </c>
      <c r="H31" s="20">
        <f t="shared" si="7"/>
        <v>-400668.4013723895</v>
      </c>
      <c r="I31" s="20">
        <f t="shared" si="3"/>
        <v>8013.36802744779</v>
      </c>
      <c r="J31" s="18">
        <f t="shared" si="4"/>
        <v>0</v>
      </c>
      <c r="K31" s="20">
        <f t="shared" si="8"/>
        <v>-408681.7693998373</v>
      </c>
      <c r="L31" s="20">
        <f t="shared" si="5"/>
        <v>-408681.7693998373</v>
      </c>
      <c r="M31" s="23"/>
    </row>
    <row r="32" spans="2:16" ht="12.75">
      <c r="B32">
        <v>16</v>
      </c>
      <c r="C32">
        <f t="shared" si="1"/>
        <v>2</v>
      </c>
      <c r="D32" s="28">
        <f>_XLL.VOSEPOISSON(AvgSalesRate)</f>
        <v>6</v>
      </c>
      <c r="E32">
        <f t="shared" si="6"/>
        <v>2</v>
      </c>
      <c r="F32">
        <f t="shared" si="0"/>
        <v>0</v>
      </c>
      <c r="G32">
        <f t="shared" si="2"/>
        <v>0</v>
      </c>
      <c r="H32" s="20">
        <f t="shared" si="7"/>
        <v>-238681.7693998373</v>
      </c>
      <c r="I32" s="20">
        <f t="shared" si="3"/>
        <v>4773.635387996746</v>
      </c>
      <c r="J32" s="18">
        <f t="shared" si="4"/>
        <v>0</v>
      </c>
      <c r="K32" s="20">
        <f t="shared" si="8"/>
        <v>-243455.40478783404</v>
      </c>
      <c r="L32" s="20">
        <f t="shared" si="5"/>
        <v>-243455.40478783404</v>
      </c>
      <c r="M32" s="23"/>
      <c r="N32" t="s">
        <v>9</v>
      </c>
      <c r="O32">
        <f>SUM(G16:G136)</f>
        <v>309</v>
      </c>
      <c r="P32" t="s">
        <v>12</v>
      </c>
    </row>
    <row r="33" spans="2:16" ht="12.75">
      <c r="B33">
        <v>17</v>
      </c>
      <c r="C33">
        <f t="shared" si="1"/>
        <v>13</v>
      </c>
      <c r="D33" s="28">
        <f>_XLL.VOSEPOISSON(AvgSalesRate)</f>
        <v>2</v>
      </c>
      <c r="E33">
        <f t="shared" si="6"/>
        <v>2</v>
      </c>
      <c r="F33">
        <f t="shared" si="0"/>
        <v>11</v>
      </c>
      <c r="G33">
        <f t="shared" si="2"/>
        <v>0</v>
      </c>
      <c r="H33" s="20">
        <f t="shared" si="7"/>
        <v>-73455.40478783404</v>
      </c>
      <c r="I33" s="20">
        <f t="shared" si="3"/>
        <v>1469.1080957566808</v>
      </c>
      <c r="J33" s="18">
        <f t="shared" si="4"/>
        <v>0</v>
      </c>
      <c r="K33" s="20">
        <f t="shared" si="8"/>
        <v>-74924.51288359071</v>
      </c>
      <c r="L33" s="20">
        <f t="shared" si="5"/>
        <v>-74924.51288359071</v>
      </c>
      <c r="M33" s="23"/>
      <c r="N33" t="s">
        <v>10</v>
      </c>
      <c r="O33">
        <f>SUM(E16:E136)</f>
        <v>299</v>
      </c>
      <c r="P33" t="s">
        <v>12</v>
      </c>
    </row>
    <row r="34" spans="2:16" ht="12.75">
      <c r="B34">
        <v>18</v>
      </c>
      <c r="C34">
        <f t="shared" si="1"/>
        <v>11</v>
      </c>
      <c r="D34" s="28">
        <f>_XLL.VOSEPOISSON(AvgSalesRate)</f>
        <v>1</v>
      </c>
      <c r="E34">
        <f t="shared" si="6"/>
        <v>1</v>
      </c>
      <c r="F34">
        <f t="shared" si="0"/>
        <v>10</v>
      </c>
      <c r="G34">
        <f t="shared" si="2"/>
        <v>0</v>
      </c>
      <c r="H34" s="20">
        <f t="shared" si="7"/>
        <v>-3924.512883590709</v>
      </c>
      <c r="I34" s="20">
        <f t="shared" si="3"/>
        <v>78.49025767181418</v>
      </c>
      <c r="J34" s="18">
        <f t="shared" si="4"/>
        <v>0</v>
      </c>
      <c r="K34" s="20">
        <f t="shared" si="8"/>
        <v>-4003.003141262523</v>
      </c>
      <c r="L34" s="20">
        <f t="shared" si="5"/>
        <v>-4003.003141262523</v>
      </c>
      <c r="M34" s="23"/>
      <c r="N34" t="s">
        <v>3</v>
      </c>
      <c r="O34">
        <f>TotalStockBought-TotalStockSold+MinimumStock</f>
        <v>15</v>
      </c>
      <c r="P34" t="s">
        <v>25</v>
      </c>
    </row>
    <row r="35" spans="2:16" ht="12.75">
      <c r="B35">
        <v>19</v>
      </c>
      <c r="C35">
        <f t="shared" si="1"/>
        <v>10</v>
      </c>
      <c r="D35" s="28">
        <f>_XLL.VOSEPOISSON(AvgSalesRate)</f>
        <v>2</v>
      </c>
      <c r="E35">
        <f t="shared" si="6"/>
        <v>2</v>
      </c>
      <c r="F35">
        <f t="shared" si="0"/>
        <v>8</v>
      </c>
      <c r="G35">
        <f t="shared" si="2"/>
        <v>0</v>
      </c>
      <c r="H35" s="20">
        <f t="shared" si="7"/>
        <v>165996.9968587375</v>
      </c>
      <c r="I35" s="20">
        <f t="shared" si="3"/>
        <v>0</v>
      </c>
      <c r="J35" s="18">
        <f t="shared" si="4"/>
        <v>0</v>
      </c>
      <c r="K35" s="20">
        <f t="shared" si="8"/>
        <v>165996.9968587375</v>
      </c>
      <c r="L35" s="20">
        <f t="shared" si="5"/>
        <v>157996.9968587375</v>
      </c>
      <c r="M35" s="23"/>
      <c r="N35" t="s">
        <v>23</v>
      </c>
      <c r="O35">
        <f>TotalStockSold*SalePrice-TotalStockBought*PurchasePrice+RemainingStock*PurchasePrice-SUM(J17:J136)-SUM(I17:I136)</f>
        <v>5365994.20105006</v>
      </c>
      <c r="P35" t="s">
        <v>12</v>
      </c>
    </row>
    <row r="36" spans="2:13" ht="12.75">
      <c r="B36">
        <v>20</v>
      </c>
      <c r="C36">
        <f t="shared" si="1"/>
        <v>8</v>
      </c>
      <c r="D36" s="28">
        <f>_XLL.VOSEPOISSON(AvgSalesRate)</f>
        <v>3</v>
      </c>
      <c r="E36">
        <f t="shared" si="6"/>
        <v>3</v>
      </c>
      <c r="F36">
        <f t="shared" si="0"/>
        <v>5</v>
      </c>
      <c r="G36">
        <f t="shared" si="2"/>
        <v>0</v>
      </c>
      <c r="H36" s="20">
        <f t="shared" si="7"/>
        <v>426996.9968587375</v>
      </c>
      <c r="I36" s="20">
        <f t="shared" si="3"/>
        <v>0</v>
      </c>
      <c r="J36" s="18">
        <f t="shared" si="4"/>
        <v>0</v>
      </c>
      <c r="K36" s="20">
        <f t="shared" si="8"/>
        <v>426996.9968587375</v>
      </c>
      <c r="L36" s="20">
        <f t="shared" si="5"/>
        <v>418996.9968587375</v>
      </c>
      <c r="M36" s="23"/>
    </row>
    <row r="37" spans="2:15" ht="12.75">
      <c r="B37">
        <v>21</v>
      </c>
      <c r="C37">
        <f t="shared" si="1"/>
        <v>5</v>
      </c>
      <c r="D37" s="28">
        <f>_XLL.VOSEPOISSON(AvgSalesRate)</f>
        <v>3</v>
      </c>
      <c r="E37">
        <f t="shared" si="6"/>
        <v>3</v>
      </c>
      <c r="F37">
        <f t="shared" si="0"/>
        <v>2</v>
      </c>
      <c r="G37">
        <f t="shared" si="2"/>
        <v>13</v>
      </c>
      <c r="H37" s="20">
        <f t="shared" si="7"/>
        <v>-352003.00314126257</v>
      </c>
      <c r="I37" s="20">
        <f t="shared" si="3"/>
        <v>7040.060062825251</v>
      </c>
      <c r="J37" s="18">
        <f t="shared" si="4"/>
        <v>0</v>
      </c>
      <c r="K37" s="20">
        <f t="shared" si="8"/>
        <v>-359043.06320408784</v>
      </c>
      <c r="L37" s="20">
        <f t="shared" si="5"/>
        <v>-359043.06320408784</v>
      </c>
      <c r="M37" s="23"/>
      <c r="N37" s="17" t="s">
        <v>22</v>
      </c>
      <c r="O37" s="29">
        <f>_XLL.VOSEOUTPUT(Model!N37)+O35/10</f>
        <v>536599.420105006</v>
      </c>
    </row>
    <row r="38" spans="2:13" ht="12.75">
      <c r="B38">
        <v>22</v>
      </c>
      <c r="C38">
        <f t="shared" si="1"/>
        <v>2</v>
      </c>
      <c r="D38" s="28">
        <f>_XLL.VOSEPOISSON(AvgSalesRate)</f>
        <v>4</v>
      </c>
      <c r="E38">
        <f t="shared" si="6"/>
        <v>2</v>
      </c>
      <c r="F38">
        <f t="shared" si="0"/>
        <v>0</v>
      </c>
      <c r="G38">
        <f t="shared" si="2"/>
        <v>0</v>
      </c>
      <c r="H38" s="20">
        <f t="shared" si="7"/>
        <v>-189043.06320408784</v>
      </c>
      <c r="I38" s="20">
        <f t="shared" si="3"/>
        <v>3780.861264081757</v>
      </c>
      <c r="J38" s="18">
        <f t="shared" si="4"/>
        <v>0</v>
      </c>
      <c r="K38" s="20">
        <f t="shared" si="8"/>
        <v>-192823.9244681696</v>
      </c>
      <c r="L38" s="20">
        <f t="shared" si="5"/>
        <v>-192823.9244681696</v>
      </c>
      <c r="M38" s="23"/>
    </row>
    <row r="39" spans="2:13" ht="12.75">
      <c r="B39">
        <v>23</v>
      </c>
      <c r="C39">
        <f t="shared" si="1"/>
        <v>13</v>
      </c>
      <c r="D39" s="28">
        <f>_XLL.VOSEPOISSON(AvgSalesRate)</f>
        <v>3</v>
      </c>
      <c r="E39">
        <f t="shared" si="6"/>
        <v>3</v>
      </c>
      <c r="F39">
        <f t="shared" si="0"/>
        <v>10</v>
      </c>
      <c r="G39">
        <f t="shared" si="2"/>
        <v>0</v>
      </c>
      <c r="H39" s="20">
        <f t="shared" si="7"/>
        <v>76176.0755318304</v>
      </c>
      <c r="I39" s="20">
        <f t="shared" si="3"/>
        <v>0</v>
      </c>
      <c r="J39" s="18">
        <f t="shared" si="4"/>
        <v>0</v>
      </c>
      <c r="K39" s="20">
        <f t="shared" si="8"/>
        <v>76176.0755318304</v>
      </c>
      <c r="L39" s="20">
        <f t="shared" si="5"/>
        <v>68176.0755318304</v>
      </c>
      <c r="M39" s="23"/>
    </row>
    <row r="40" spans="2:13" ht="12.75">
      <c r="B40">
        <v>23</v>
      </c>
      <c r="C40">
        <f t="shared" si="1"/>
        <v>10</v>
      </c>
      <c r="D40" s="28">
        <f>_XLL.VOSEPOISSON(AvgSalesRate)</f>
        <v>3</v>
      </c>
      <c r="E40">
        <f t="shared" si="6"/>
        <v>3</v>
      </c>
      <c r="F40">
        <f t="shared" si="0"/>
        <v>7</v>
      </c>
      <c r="G40">
        <f t="shared" si="2"/>
        <v>0</v>
      </c>
      <c r="H40" s="20">
        <f t="shared" si="7"/>
        <v>337176.0755318304</v>
      </c>
      <c r="I40" s="20">
        <f t="shared" si="3"/>
        <v>0</v>
      </c>
      <c r="J40" s="18">
        <f t="shared" si="4"/>
        <v>0</v>
      </c>
      <c r="K40" s="20">
        <f t="shared" si="8"/>
        <v>337176.0755318304</v>
      </c>
      <c r="L40" s="20">
        <f t="shared" si="5"/>
        <v>329176.0755318304</v>
      </c>
      <c r="M40" s="23"/>
    </row>
    <row r="41" spans="2:13" ht="12.75">
      <c r="B41">
        <v>25</v>
      </c>
      <c r="C41">
        <f t="shared" si="1"/>
        <v>7</v>
      </c>
      <c r="D41" s="28">
        <f>_XLL.VOSEPOISSON(AvgSalesRate)</f>
        <v>3</v>
      </c>
      <c r="E41">
        <f t="shared" si="6"/>
        <v>3</v>
      </c>
      <c r="F41">
        <f t="shared" si="0"/>
        <v>4</v>
      </c>
      <c r="G41">
        <f t="shared" si="2"/>
        <v>11</v>
      </c>
      <c r="H41" s="20">
        <f t="shared" si="7"/>
        <v>-281823.9244681696</v>
      </c>
      <c r="I41" s="20">
        <f t="shared" si="3"/>
        <v>5636.478489363391</v>
      </c>
      <c r="J41" s="18">
        <f t="shared" si="4"/>
        <v>0</v>
      </c>
      <c r="K41" s="20">
        <f t="shared" si="8"/>
        <v>-287460.40295753296</v>
      </c>
      <c r="L41" s="20">
        <f t="shared" si="5"/>
        <v>-287460.40295753296</v>
      </c>
      <c r="M41" s="23"/>
    </row>
    <row r="42" spans="2:13" ht="12.75">
      <c r="B42">
        <v>26</v>
      </c>
      <c r="C42">
        <f t="shared" si="1"/>
        <v>4</v>
      </c>
      <c r="D42" s="28">
        <f>_XLL.VOSEPOISSON(AvgSalesRate)</f>
        <v>2</v>
      </c>
      <c r="E42">
        <f t="shared" si="6"/>
        <v>2</v>
      </c>
      <c r="F42">
        <f t="shared" si="0"/>
        <v>2</v>
      </c>
      <c r="G42">
        <f t="shared" si="2"/>
        <v>0</v>
      </c>
      <c r="H42" s="20">
        <f t="shared" si="7"/>
        <v>-117460.40295753296</v>
      </c>
      <c r="I42" s="20">
        <f t="shared" si="3"/>
        <v>2349.208059150659</v>
      </c>
      <c r="J42" s="18">
        <f t="shared" si="4"/>
        <v>0</v>
      </c>
      <c r="K42" s="20">
        <f t="shared" si="8"/>
        <v>-119809.61101668362</v>
      </c>
      <c r="L42" s="20">
        <f t="shared" si="5"/>
        <v>-119809.61101668362</v>
      </c>
      <c r="M42" s="23"/>
    </row>
    <row r="43" spans="2:13" ht="12.75">
      <c r="B43">
        <v>27</v>
      </c>
      <c r="C43">
        <f t="shared" si="1"/>
        <v>13</v>
      </c>
      <c r="D43" s="28">
        <f>_XLL.VOSEPOISSON(AvgSalesRate)</f>
        <v>1</v>
      </c>
      <c r="E43">
        <f t="shared" si="6"/>
        <v>1</v>
      </c>
      <c r="F43">
        <f t="shared" si="0"/>
        <v>12</v>
      </c>
      <c r="G43">
        <f t="shared" si="2"/>
        <v>0</v>
      </c>
      <c r="H43" s="20">
        <f t="shared" si="7"/>
        <v>-48809.611016683615</v>
      </c>
      <c r="I43" s="20">
        <f t="shared" si="3"/>
        <v>976.1922203336724</v>
      </c>
      <c r="J43" s="18">
        <f t="shared" si="4"/>
        <v>0</v>
      </c>
      <c r="K43" s="20">
        <f t="shared" si="8"/>
        <v>-49785.80323701729</v>
      </c>
      <c r="L43" s="20">
        <f t="shared" si="5"/>
        <v>-49785.80323701729</v>
      </c>
      <c r="M43" s="23"/>
    </row>
    <row r="44" spans="2:13" ht="12.75">
      <c r="B44">
        <v>28</v>
      </c>
      <c r="C44">
        <f t="shared" si="1"/>
        <v>12</v>
      </c>
      <c r="D44" s="28">
        <f>_XLL.VOSEPOISSON(AvgSalesRate)</f>
        <v>2</v>
      </c>
      <c r="E44">
        <f t="shared" si="6"/>
        <v>2</v>
      </c>
      <c r="F44">
        <f t="shared" si="0"/>
        <v>10</v>
      </c>
      <c r="G44">
        <f t="shared" si="2"/>
        <v>0</v>
      </c>
      <c r="H44" s="20">
        <f t="shared" si="7"/>
        <v>120214.1967629827</v>
      </c>
      <c r="I44" s="20">
        <f t="shared" si="3"/>
        <v>0</v>
      </c>
      <c r="J44" s="18">
        <f t="shared" si="4"/>
        <v>0</v>
      </c>
      <c r="K44" s="20">
        <f t="shared" si="8"/>
        <v>120214.1967629827</v>
      </c>
      <c r="L44" s="20">
        <f t="shared" si="5"/>
        <v>112214.1967629827</v>
      </c>
      <c r="M44" s="23"/>
    </row>
    <row r="45" spans="2:13" ht="12.75">
      <c r="B45">
        <v>29</v>
      </c>
      <c r="C45">
        <f t="shared" si="1"/>
        <v>10</v>
      </c>
      <c r="D45" s="28">
        <f>_XLL.VOSEPOISSON(AvgSalesRate)</f>
        <v>2</v>
      </c>
      <c r="E45">
        <f t="shared" si="6"/>
        <v>2</v>
      </c>
      <c r="F45">
        <f t="shared" si="0"/>
        <v>8</v>
      </c>
      <c r="G45">
        <f t="shared" si="2"/>
        <v>0</v>
      </c>
      <c r="H45" s="20">
        <f t="shared" si="7"/>
        <v>282214.1967629827</v>
      </c>
      <c r="I45" s="20">
        <f t="shared" si="3"/>
        <v>0</v>
      </c>
      <c r="J45" s="18">
        <f t="shared" si="4"/>
        <v>0</v>
      </c>
      <c r="K45" s="20">
        <f t="shared" si="8"/>
        <v>282214.1967629827</v>
      </c>
      <c r="L45" s="20">
        <f t="shared" si="5"/>
        <v>274214.1967629827</v>
      </c>
      <c r="M45" s="23"/>
    </row>
    <row r="46" spans="2:13" ht="12.75">
      <c r="B46">
        <v>30</v>
      </c>
      <c r="C46">
        <f t="shared" si="1"/>
        <v>8</v>
      </c>
      <c r="D46" s="28">
        <f>_XLL.VOSEPOISSON(AvgSalesRate)</f>
        <v>2</v>
      </c>
      <c r="E46">
        <f t="shared" si="6"/>
        <v>2</v>
      </c>
      <c r="F46">
        <f t="shared" si="0"/>
        <v>6</v>
      </c>
      <c r="G46">
        <f t="shared" si="2"/>
        <v>0</v>
      </c>
      <c r="H46" s="20">
        <f t="shared" si="7"/>
        <v>444214.1967629827</v>
      </c>
      <c r="I46" s="20">
        <f t="shared" si="3"/>
        <v>0</v>
      </c>
      <c r="J46" s="18">
        <f t="shared" si="4"/>
        <v>0</v>
      </c>
      <c r="K46" s="20">
        <f t="shared" si="8"/>
        <v>444214.1967629827</v>
      </c>
      <c r="L46" s="20">
        <f t="shared" si="5"/>
        <v>436214.1967629827</v>
      </c>
      <c r="M46" s="23"/>
    </row>
    <row r="47" spans="2:13" ht="12.75">
      <c r="B47">
        <v>31</v>
      </c>
      <c r="C47">
        <f t="shared" si="1"/>
        <v>6</v>
      </c>
      <c r="D47" s="28">
        <f>_XLL.VOSEPOISSON(AvgSalesRate)</f>
        <v>1</v>
      </c>
      <c r="E47">
        <f t="shared" si="6"/>
        <v>1</v>
      </c>
      <c r="F47">
        <f t="shared" si="0"/>
        <v>5</v>
      </c>
      <c r="G47">
        <f t="shared" si="2"/>
        <v>0</v>
      </c>
      <c r="H47" s="20">
        <f t="shared" si="7"/>
        <v>507214.19676298276</v>
      </c>
      <c r="I47" s="20">
        <f t="shared" si="3"/>
        <v>0</v>
      </c>
      <c r="J47" s="18">
        <f t="shared" si="4"/>
        <v>0</v>
      </c>
      <c r="K47" s="20">
        <f t="shared" si="8"/>
        <v>507214.19676298276</v>
      </c>
      <c r="L47" s="20">
        <f t="shared" si="5"/>
        <v>499214.19676298276</v>
      </c>
      <c r="M47" s="23"/>
    </row>
    <row r="48" spans="2:13" ht="12.75">
      <c r="B48">
        <v>32</v>
      </c>
      <c r="C48">
        <f t="shared" si="1"/>
        <v>5</v>
      </c>
      <c r="D48" s="28">
        <f>_XLL.VOSEPOISSON(AvgSalesRate)</f>
        <v>5</v>
      </c>
      <c r="E48">
        <f t="shared" si="6"/>
        <v>5</v>
      </c>
      <c r="F48">
        <f aca="true" t="shared" si="9" ref="F48:F79">C48-E48</f>
        <v>0</v>
      </c>
      <c r="G48">
        <f t="shared" si="2"/>
        <v>15</v>
      </c>
      <c r="H48" s="20">
        <f t="shared" si="7"/>
        <v>-233785.80323701724</v>
      </c>
      <c r="I48" s="20">
        <f t="shared" si="3"/>
        <v>4675.716064740345</v>
      </c>
      <c r="J48" s="18">
        <f t="shared" si="4"/>
        <v>0</v>
      </c>
      <c r="K48" s="20">
        <f t="shared" si="8"/>
        <v>-238461.5193017576</v>
      </c>
      <c r="L48" s="20">
        <f t="shared" si="5"/>
        <v>-238461.5193017576</v>
      </c>
      <c r="M48" s="23"/>
    </row>
    <row r="49" spans="2:13" ht="12.75">
      <c r="B49">
        <v>33</v>
      </c>
      <c r="C49">
        <f aca="true" t="shared" si="10" ref="C49:C80">C48-E48+G47</f>
        <v>0</v>
      </c>
      <c r="D49" s="28">
        <f>_XLL.VOSEPOISSON(AvgSalesRate)</f>
        <v>1</v>
      </c>
      <c r="E49">
        <f t="shared" si="6"/>
        <v>0</v>
      </c>
      <c r="F49">
        <f t="shared" si="9"/>
        <v>0</v>
      </c>
      <c r="G49">
        <f aca="true" t="shared" si="11" ref="G49:G80">IF(F49+G48&lt;MinimumStock,MaximumStock-F49-G48,0)</f>
        <v>0</v>
      </c>
      <c r="H49" s="20">
        <f t="shared" si="7"/>
        <v>-266461.51930175757</v>
      </c>
      <c r="I49" s="20">
        <f aca="true" t="shared" si="12" ref="I49:I80">IF(H49&lt;0,-H49*CostOfDebt,0)</f>
        <v>5329.230386035151</v>
      </c>
      <c r="J49" s="18">
        <f aca="true" t="shared" si="13" ref="J49:J80">IF(AND(MOD(B49,12)=0,SUM(E38:E49)*(SalePrice-PurchasePrice)-SUM(I38:I49)-12*MonthlyCosts&gt;0),(SUM(E38:E49)*(SalePrice-PurchasePrice)-SUM(I38:I49)-12*MonthlyCosts)*TaxRate,0)</f>
        <v>0</v>
      </c>
      <c r="K49" s="20">
        <f t="shared" si="8"/>
        <v>-271790.74968779273</v>
      </c>
      <c r="L49" s="20">
        <f aca="true" t="shared" si="14" ref="L49:L80">K49-IF(K49&gt;dividends,dividends,0)</f>
        <v>-271790.74968779273</v>
      </c>
      <c r="M49" s="23"/>
    </row>
    <row r="50" spans="2:13" ht="12.75">
      <c r="B50">
        <v>34</v>
      </c>
      <c r="C50">
        <f t="shared" si="10"/>
        <v>15</v>
      </c>
      <c r="D50" s="28">
        <f>_XLL.VOSEPOISSON(AvgSalesRate)</f>
        <v>1</v>
      </c>
      <c r="E50">
        <f t="shared" si="6"/>
        <v>1</v>
      </c>
      <c r="F50">
        <f t="shared" si="9"/>
        <v>14</v>
      </c>
      <c r="G50">
        <f t="shared" si="11"/>
        <v>0</v>
      </c>
      <c r="H50" s="20">
        <f aca="true" t="shared" si="15" ref="H50:H81">L49+E50*SalePrice-G50*PurchasePrice-MonthlyCosts</f>
        <v>-200790.74968779273</v>
      </c>
      <c r="I50" s="20">
        <f t="shared" si="12"/>
        <v>4015.8149937558546</v>
      </c>
      <c r="J50" s="18">
        <f t="shared" si="13"/>
        <v>0</v>
      </c>
      <c r="K50" s="20">
        <f t="shared" si="8"/>
        <v>-204806.5646815486</v>
      </c>
      <c r="L50" s="20">
        <f t="shared" si="14"/>
        <v>-204806.5646815486</v>
      </c>
      <c r="M50" s="23"/>
    </row>
    <row r="51" spans="2:13" ht="12.75">
      <c r="B51">
        <v>35</v>
      </c>
      <c r="C51">
        <f t="shared" si="10"/>
        <v>14</v>
      </c>
      <c r="D51" s="28">
        <f>_XLL.VOSEPOISSON(AvgSalesRate)</f>
        <v>4</v>
      </c>
      <c r="E51">
        <f t="shared" si="6"/>
        <v>4</v>
      </c>
      <c r="F51">
        <f t="shared" si="9"/>
        <v>10</v>
      </c>
      <c r="G51">
        <f t="shared" si="11"/>
        <v>0</v>
      </c>
      <c r="H51" s="20">
        <f t="shared" si="15"/>
        <v>163193.4353184514</v>
      </c>
      <c r="I51" s="20">
        <f t="shared" si="12"/>
        <v>0</v>
      </c>
      <c r="J51" s="18">
        <f t="shared" si="13"/>
        <v>0</v>
      </c>
      <c r="K51" s="20">
        <f t="shared" si="8"/>
        <v>163193.4353184514</v>
      </c>
      <c r="L51" s="20">
        <f t="shared" si="14"/>
        <v>155193.4353184514</v>
      </c>
      <c r="M51" s="23"/>
    </row>
    <row r="52" spans="2:13" ht="12.75">
      <c r="B52">
        <v>36</v>
      </c>
      <c r="C52">
        <f t="shared" si="10"/>
        <v>10</v>
      </c>
      <c r="D52" s="28">
        <f>_XLL.VOSEPOISSON(AvgSalesRate)</f>
        <v>0</v>
      </c>
      <c r="E52">
        <f t="shared" si="6"/>
        <v>0</v>
      </c>
      <c r="F52">
        <f t="shared" si="9"/>
        <v>10</v>
      </c>
      <c r="G52">
        <f t="shared" si="11"/>
        <v>0</v>
      </c>
      <c r="H52" s="20">
        <f t="shared" si="15"/>
        <v>127193.4353184514</v>
      </c>
      <c r="I52" s="20">
        <f t="shared" si="12"/>
        <v>0</v>
      </c>
      <c r="J52" s="18">
        <f t="shared" si="13"/>
        <v>23405.207935986284</v>
      </c>
      <c r="K52" s="20">
        <f t="shared" si="8"/>
        <v>103788.22738246512</v>
      </c>
      <c r="L52" s="20">
        <f t="shared" si="14"/>
        <v>95788.22738246512</v>
      </c>
      <c r="M52" s="23"/>
    </row>
    <row r="53" spans="2:13" ht="12.75">
      <c r="B53">
        <v>37</v>
      </c>
      <c r="C53">
        <f t="shared" si="10"/>
        <v>10</v>
      </c>
      <c r="D53" s="28">
        <f>_XLL.VOSEPOISSON(AvgSalesRate)</f>
        <v>3</v>
      </c>
      <c r="E53">
        <f t="shared" si="6"/>
        <v>3</v>
      </c>
      <c r="F53">
        <f t="shared" si="9"/>
        <v>7</v>
      </c>
      <c r="G53">
        <f t="shared" si="11"/>
        <v>0</v>
      </c>
      <c r="H53" s="20">
        <f t="shared" si="15"/>
        <v>364788.22738246515</v>
      </c>
      <c r="I53" s="20">
        <f t="shared" si="12"/>
        <v>0</v>
      </c>
      <c r="J53" s="18">
        <f t="shared" si="13"/>
        <v>0</v>
      </c>
      <c r="K53" s="20">
        <f t="shared" si="8"/>
        <v>364788.22738246515</v>
      </c>
      <c r="L53" s="20">
        <f t="shared" si="14"/>
        <v>356788.22738246515</v>
      </c>
      <c r="M53" s="23"/>
    </row>
    <row r="54" spans="2:13" ht="12.75">
      <c r="B54">
        <v>38</v>
      </c>
      <c r="C54">
        <f t="shared" si="10"/>
        <v>7</v>
      </c>
      <c r="D54" s="28">
        <f>_XLL.VOSEPOISSON(AvgSalesRate)</f>
        <v>3</v>
      </c>
      <c r="E54">
        <f t="shared" si="6"/>
        <v>3</v>
      </c>
      <c r="F54">
        <f t="shared" si="9"/>
        <v>4</v>
      </c>
      <c r="G54">
        <f t="shared" si="11"/>
        <v>11</v>
      </c>
      <c r="H54" s="20">
        <f t="shared" si="15"/>
        <v>-254211.77261753485</v>
      </c>
      <c r="I54" s="20">
        <f t="shared" si="12"/>
        <v>5084.235452350697</v>
      </c>
      <c r="J54" s="18">
        <f t="shared" si="13"/>
        <v>0</v>
      </c>
      <c r="K54" s="20">
        <f t="shared" si="8"/>
        <v>-259296.00806988555</v>
      </c>
      <c r="L54" s="20">
        <f t="shared" si="14"/>
        <v>-259296.00806988555</v>
      </c>
      <c r="M54" s="23"/>
    </row>
    <row r="55" spans="2:13" ht="12.75">
      <c r="B55">
        <v>39</v>
      </c>
      <c r="C55">
        <f t="shared" si="10"/>
        <v>4</v>
      </c>
      <c r="D55" s="28">
        <f>_XLL.VOSEPOISSON(AvgSalesRate)</f>
        <v>2</v>
      </c>
      <c r="E55">
        <f t="shared" si="6"/>
        <v>2</v>
      </c>
      <c r="F55">
        <f t="shared" si="9"/>
        <v>2</v>
      </c>
      <c r="G55">
        <f t="shared" si="11"/>
        <v>0</v>
      </c>
      <c r="H55" s="20">
        <f t="shared" si="15"/>
        <v>-89296.00806988555</v>
      </c>
      <c r="I55" s="20">
        <f t="shared" si="12"/>
        <v>1785.920161397711</v>
      </c>
      <c r="J55" s="18">
        <f t="shared" si="13"/>
        <v>0</v>
      </c>
      <c r="K55" s="20">
        <f t="shared" si="8"/>
        <v>-91081.92823128325</v>
      </c>
      <c r="L55" s="20">
        <f t="shared" si="14"/>
        <v>-91081.92823128325</v>
      </c>
      <c r="M55" s="23"/>
    </row>
    <row r="56" spans="2:13" ht="12.75">
      <c r="B56">
        <v>40</v>
      </c>
      <c r="C56">
        <f t="shared" si="10"/>
        <v>13</v>
      </c>
      <c r="D56" s="28">
        <f>_XLL.VOSEPOISSON(AvgSalesRate)</f>
        <v>6</v>
      </c>
      <c r="E56">
        <f t="shared" si="6"/>
        <v>6</v>
      </c>
      <c r="F56">
        <f t="shared" si="9"/>
        <v>7</v>
      </c>
      <c r="G56">
        <f t="shared" si="11"/>
        <v>0</v>
      </c>
      <c r="H56" s="20">
        <f t="shared" si="15"/>
        <v>474918.07176871673</v>
      </c>
      <c r="I56" s="20">
        <f t="shared" si="12"/>
        <v>0</v>
      </c>
      <c r="J56" s="18">
        <f t="shared" si="13"/>
        <v>0</v>
      </c>
      <c r="K56" s="20">
        <f t="shared" si="8"/>
        <v>474918.07176871673</v>
      </c>
      <c r="L56" s="20">
        <f t="shared" si="14"/>
        <v>466918.07176871673</v>
      </c>
      <c r="M56" s="23"/>
    </row>
    <row r="57" spans="2:13" ht="12.75">
      <c r="B57">
        <v>41</v>
      </c>
      <c r="C57">
        <f t="shared" si="10"/>
        <v>7</v>
      </c>
      <c r="D57" s="28">
        <f>_XLL.VOSEPOISSON(AvgSalesRate)</f>
        <v>3</v>
      </c>
      <c r="E57">
        <f t="shared" si="6"/>
        <v>3</v>
      </c>
      <c r="F57">
        <f t="shared" si="9"/>
        <v>4</v>
      </c>
      <c r="G57">
        <f t="shared" si="11"/>
        <v>11</v>
      </c>
      <c r="H57" s="20">
        <f t="shared" si="15"/>
        <v>-144081.92823128332</v>
      </c>
      <c r="I57" s="20">
        <f t="shared" si="12"/>
        <v>2881.6385646256667</v>
      </c>
      <c r="J57" s="18">
        <f t="shared" si="13"/>
        <v>0</v>
      </c>
      <c r="K57" s="20">
        <f t="shared" si="8"/>
        <v>-146963.566795909</v>
      </c>
      <c r="L57" s="20">
        <f t="shared" si="14"/>
        <v>-146963.566795909</v>
      </c>
      <c r="M57" s="23"/>
    </row>
    <row r="58" spans="2:13" ht="12.75">
      <c r="B58">
        <v>42</v>
      </c>
      <c r="C58">
        <f t="shared" si="10"/>
        <v>4</v>
      </c>
      <c r="D58" s="28">
        <f>_XLL.VOSEPOISSON(AvgSalesRate)</f>
        <v>3</v>
      </c>
      <c r="E58">
        <f t="shared" si="6"/>
        <v>3</v>
      </c>
      <c r="F58">
        <f t="shared" si="9"/>
        <v>1</v>
      </c>
      <c r="G58">
        <f t="shared" si="11"/>
        <v>0</v>
      </c>
      <c r="H58" s="20">
        <f t="shared" si="15"/>
        <v>122036.43320409101</v>
      </c>
      <c r="I58" s="20">
        <f t="shared" si="12"/>
        <v>0</v>
      </c>
      <c r="J58" s="18">
        <f t="shared" si="13"/>
        <v>0</v>
      </c>
      <c r="K58" s="20">
        <f t="shared" si="8"/>
        <v>122036.43320409101</v>
      </c>
      <c r="L58" s="20">
        <f t="shared" si="14"/>
        <v>114036.43320409101</v>
      </c>
      <c r="M58" s="23"/>
    </row>
    <row r="59" spans="2:13" ht="12.75">
      <c r="B59">
        <v>43</v>
      </c>
      <c r="C59">
        <f t="shared" si="10"/>
        <v>12</v>
      </c>
      <c r="D59" s="28">
        <f>_XLL.VOSEPOISSON(AvgSalesRate)</f>
        <v>3</v>
      </c>
      <c r="E59">
        <f t="shared" si="6"/>
        <v>3</v>
      </c>
      <c r="F59">
        <f t="shared" si="9"/>
        <v>9</v>
      </c>
      <c r="G59">
        <f t="shared" si="11"/>
        <v>0</v>
      </c>
      <c r="H59" s="20">
        <f t="shared" si="15"/>
        <v>383036.43320409104</v>
      </c>
      <c r="I59" s="20">
        <f t="shared" si="12"/>
        <v>0</v>
      </c>
      <c r="J59" s="18">
        <f t="shared" si="13"/>
        <v>0</v>
      </c>
      <c r="K59" s="20">
        <f t="shared" si="8"/>
        <v>383036.43320409104</v>
      </c>
      <c r="L59" s="20">
        <f t="shared" si="14"/>
        <v>375036.43320409104</v>
      </c>
      <c r="M59" s="23"/>
    </row>
    <row r="60" spans="2:13" ht="12.75">
      <c r="B60">
        <v>44</v>
      </c>
      <c r="C60">
        <f t="shared" si="10"/>
        <v>9</v>
      </c>
      <c r="D60" s="28">
        <f>_XLL.VOSEPOISSON(AvgSalesRate)</f>
        <v>3</v>
      </c>
      <c r="E60">
        <f t="shared" si="6"/>
        <v>3</v>
      </c>
      <c r="F60">
        <f t="shared" si="9"/>
        <v>6</v>
      </c>
      <c r="G60">
        <f t="shared" si="11"/>
        <v>0</v>
      </c>
      <c r="H60" s="20">
        <f t="shared" si="15"/>
        <v>644036.433204091</v>
      </c>
      <c r="I60" s="20">
        <f t="shared" si="12"/>
        <v>0</v>
      </c>
      <c r="J60" s="18">
        <f t="shared" si="13"/>
        <v>0</v>
      </c>
      <c r="K60" s="20">
        <f t="shared" si="8"/>
        <v>644036.433204091</v>
      </c>
      <c r="L60" s="20">
        <f t="shared" si="14"/>
        <v>636036.433204091</v>
      </c>
      <c r="M60" s="23"/>
    </row>
    <row r="61" spans="2:13" ht="12.75">
      <c r="B61">
        <v>45</v>
      </c>
      <c r="C61">
        <f t="shared" si="10"/>
        <v>6</v>
      </c>
      <c r="D61" s="28">
        <f>_XLL.VOSEPOISSON(AvgSalesRate)</f>
        <v>4</v>
      </c>
      <c r="E61">
        <f t="shared" si="6"/>
        <v>4</v>
      </c>
      <c r="F61">
        <f t="shared" si="9"/>
        <v>2</v>
      </c>
      <c r="G61">
        <f t="shared" si="11"/>
        <v>13</v>
      </c>
      <c r="H61" s="20">
        <f t="shared" si="15"/>
        <v>-35963.56679590896</v>
      </c>
      <c r="I61" s="20">
        <f t="shared" si="12"/>
        <v>719.2713359181793</v>
      </c>
      <c r="J61" s="18">
        <f t="shared" si="13"/>
        <v>0</v>
      </c>
      <c r="K61" s="20">
        <f t="shared" si="8"/>
        <v>-36682.83813182714</v>
      </c>
      <c r="L61" s="20">
        <f t="shared" si="14"/>
        <v>-36682.83813182714</v>
      </c>
      <c r="M61" s="23"/>
    </row>
    <row r="62" spans="2:13" ht="12.75">
      <c r="B62">
        <v>46</v>
      </c>
      <c r="C62">
        <f t="shared" si="10"/>
        <v>2</v>
      </c>
      <c r="D62" s="28">
        <f>_XLL.VOSEPOISSON(AvgSalesRate)</f>
        <v>2</v>
      </c>
      <c r="E62">
        <f t="shared" si="6"/>
        <v>2</v>
      </c>
      <c r="F62">
        <f t="shared" si="9"/>
        <v>0</v>
      </c>
      <c r="G62">
        <f t="shared" si="11"/>
        <v>0</v>
      </c>
      <c r="H62" s="20">
        <f t="shared" si="15"/>
        <v>133317.16186817287</v>
      </c>
      <c r="I62" s="20">
        <f t="shared" si="12"/>
        <v>0</v>
      </c>
      <c r="J62" s="18">
        <f t="shared" si="13"/>
        <v>0</v>
      </c>
      <c r="K62" s="20">
        <f t="shared" si="8"/>
        <v>133317.16186817287</v>
      </c>
      <c r="L62" s="20">
        <f t="shared" si="14"/>
        <v>125317.16186817287</v>
      </c>
      <c r="M62" s="23"/>
    </row>
    <row r="63" spans="2:13" ht="12.75">
      <c r="B63">
        <v>47</v>
      </c>
      <c r="C63">
        <f t="shared" si="10"/>
        <v>13</v>
      </c>
      <c r="D63" s="28">
        <f>_XLL.VOSEPOISSON(AvgSalesRate)</f>
        <v>1</v>
      </c>
      <c r="E63">
        <f t="shared" si="6"/>
        <v>1</v>
      </c>
      <c r="F63">
        <f t="shared" si="9"/>
        <v>12</v>
      </c>
      <c r="G63">
        <f t="shared" si="11"/>
        <v>0</v>
      </c>
      <c r="H63" s="20">
        <f t="shared" si="15"/>
        <v>196317.16186817287</v>
      </c>
      <c r="I63" s="20">
        <f t="shared" si="12"/>
        <v>0</v>
      </c>
      <c r="J63" s="18">
        <f t="shared" si="13"/>
        <v>0</v>
      </c>
      <c r="K63" s="20">
        <f t="shared" si="8"/>
        <v>196317.16186817287</v>
      </c>
      <c r="L63" s="20">
        <f t="shared" si="14"/>
        <v>188317.16186817287</v>
      </c>
      <c r="M63" s="23"/>
    </row>
    <row r="64" spans="2:13" ht="12.75">
      <c r="B64">
        <v>48</v>
      </c>
      <c r="C64">
        <f t="shared" si="10"/>
        <v>12</v>
      </c>
      <c r="D64" s="28">
        <f>_XLL.VOSEPOISSON(AvgSalesRate)</f>
        <v>3</v>
      </c>
      <c r="E64">
        <f t="shared" si="6"/>
        <v>3</v>
      </c>
      <c r="F64">
        <f t="shared" si="9"/>
        <v>9</v>
      </c>
      <c r="G64">
        <f t="shared" si="11"/>
        <v>0</v>
      </c>
      <c r="H64" s="20">
        <f t="shared" si="15"/>
        <v>457317.1618681729</v>
      </c>
      <c r="I64" s="20">
        <f t="shared" si="12"/>
        <v>0</v>
      </c>
      <c r="J64" s="18">
        <f t="shared" si="13"/>
        <v>101258.68034571233</v>
      </c>
      <c r="K64" s="20">
        <f t="shared" si="8"/>
        <v>356058.4815224605</v>
      </c>
      <c r="L64" s="20">
        <f t="shared" si="14"/>
        <v>348058.4815224605</v>
      </c>
      <c r="M64" s="23"/>
    </row>
    <row r="65" spans="2:13" ht="12.75">
      <c r="B65">
        <v>49</v>
      </c>
      <c r="C65">
        <f t="shared" si="10"/>
        <v>9</v>
      </c>
      <c r="D65" s="28">
        <f>_XLL.VOSEPOISSON(AvgSalesRate)</f>
        <v>3</v>
      </c>
      <c r="E65">
        <f t="shared" si="6"/>
        <v>3</v>
      </c>
      <c r="F65">
        <f t="shared" si="9"/>
        <v>6</v>
      </c>
      <c r="G65">
        <f t="shared" si="11"/>
        <v>0</v>
      </c>
      <c r="H65" s="20">
        <f t="shared" si="15"/>
        <v>617058.4815224605</v>
      </c>
      <c r="I65" s="20">
        <f t="shared" si="12"/>
        <v>0</v>
      </c>
      <c r="J65" s="18">
        <f t="shared" si="13"/>
        <v>0</v>
      </c>
      <c r="K65" s="20">
        <f t="shared" si="8"/>
        <v>617058.4815224605</v>
      </c>
      <c r="L65" s="20">
        <f t="shared" si="14"/>
        <v>609058.4815224605</v>
      </c>
      <c r="M65" s="23"/>
    </row>
    <row r="66" spans="2:13" ht="12.75">
      <c r="B66">
        <v>50</v>
      </c>
      <c r="C66">
        <f t="shared" si="10"/>
        <v>6</v>
      </c>
      <c r="D66" s="28">
        <f>_XLL.VOSEPOISSON(AvgSalesRate)</f>
        <v>2</v>
      </c>
      <c r="E66">
        <f t="shared" si="6"/>
        <v>2</v>
      </c>
      <c r="F66">
        <f t="shared" si="9"/>
        <v>4</v>
      </c>
      <c r="G66">
        <f t="shared" si="11"/>
        <v>11</v>
      </c>
      <c r="H66" s="20">
        <f t="shared" si="15"/>
        <v>-100941.51847753953</v>
      </c>
      <c r="I66" s="20">
        <f t="shared" si="12"/>
        <v>2018.8303695507907</v>
      </c>
      <c r="J66" s="18">
        <f t="shared" si="13"/>
        <v>0</v>
      </c>
      <c r="K66" s="20">
        <f t="shared" si="8"/>
        <v>-102960.34884709032</v>
      </c>
      <c r="L66" s="20">
        <f t="shared" si="14"/>
        <v>-102960.34884709032</v>
      </c>
      <c r="M66" s="23"/>
    </row>
    <row r="67" spans="2:13" ht="12.75">
      <c r="B67">
        <v>51</v>
      </c>
      <c r="C67">
        <f t="shared" si="10"/>
        <v>4</v>
      </c>
      <c r="D67" s="28">
        <f>_XLL.VOSEPOISSON(AvgSalesRate)</f>
        <v>6</v>
      </c>
      <c r="E67">
        <f t="shared" si="6"/>
        <v>4</v>
      </c>
      <c r="F67">
        <f t="shared" si="9"/>
        <v>0</v>
      </c>
      <c r="G67">
        <f t="shared" si="11"/>
        <v>0</v>
      </c>
      <c r="H67" s="20">
        <f t="shared" si="15"/>
        <v>265039.6511529097</v>
      </c>
      <c r="I67" s="20">
        <f t="shared" si="12"/>
        <v>0</v>
      </c>
      <c r="J67" s="18">
        <f t="shared" si="13"/>
        <v>0</v>
      </c>
      <c r="K67" s="20">
        <f t="shared" si="8"/>
        <v>265039.6511529097</v>
      </c>
      <c r="L67" s="20">
        <f t="shared" si="14"/>
        <v>257039.65115290968</v>
      </c>
      <c r="M67" s="23"/>
    </row>
    <row r="68" spans="2:13" ht="12.75">
      <c r="B68">
        <v>52</v>
      </c>
      <c r="C68">
        <f t="shared" si="10"/>
        <v>11</v>
      </c>
      <c r="D68" s="28">
        <f>_XLL.VOSEPOISSON(AvgSalesRate)</f>
        <v>0</v>
      </c>
      <c r="E68">
        <f t="shared" si="6"/>
        <v>0</v>
      </c>
      <c r="F68">
        <f t="shared" si="9"/>
        <v>11</v>
      </c>
      <c r="G68">
        <f t="shared" si="11"/>
        <v>0</v>
      </c>
      <c r="H68" s="20">
        <f t="shared" si="15"/>
        <v>229039.65115290968</v>
      </c>
      <c r="I68" s="20">
        <f t="shared" si="12"/>
        <v>0</v>
      </c>
      <c r="J68" s="18">
        <f t="shared" si="13"/>
        <v>0</v>
      </c>
      <c r="K68" s="20">
        <f t="shared" si="8"/>
        <v>229039.65115290968</v>
      </c>
      <c r="L68" s="20">
        <f t="shared" si="14"/>
        <v>221039.65115290968</v>
      </c>
      <c r="M68" s="23"/>
    </row>
    <row r="69" spans="2:13" ht="12.75">
      <c r="B69">
        <v>53</v>
      </c>
      <c r="C69">
        <f t="shared" si="10"/>
        <v>11</v>
      </c>
      <c r="D69" s="28">
        <f>_XLL.VOSEPOISSON(AvgSalesRate)</f>
        <v>5</v>
      </c>
      <c r="E69">
        <f t="shared" si="6"/>
        <v>5</v>
      </c>
      <c r="F69">
        <f t="shared" si="9"/>
        <v>6</v>
      </c>
      <c r="G69">
        <f t="shared" si="11"/>
        <v>0</v>
      </c>
      <c r="H69" s="20">
        <f t="shared" si="15"/>
        <v>688039.6511529097</v>
      </c>
      <c r="I69" s="20">
        <f t="shared" si="12"/>
        <v>0</v>
      </c>
      <c r="J69" s="18">
        <f t="shared" si="13"/>
        <v>0</v>
      </c>
      <c r="K69" s="20">
        <f t="shared" si="8"/>
        <v>688039.6511529097</v>
      </c>
      <c r="L69" s="20">
        <f t="shared" si="14"/>
        <v>680039.6511529097</v>
      </c>
      <c r="M69" s="23"/>
    </row>
    <row r="70" spans="2:13" ht="12.75">
      <c r="B70">
        <v>54</v>
      </c>
      <c r="C70">
        <f t="shared" si="10"/>
        <v>6</v>
      </c>
      <c r="D70" s="28">
        <f>_XLL.VOSEPOISSON(AvgSalesRate)</f>
        <v>3</v>
      </c>
      <c r="E70">
        <f t="shared" si="6"/>
        <v>3</v>
      </c>
      <c r="F70">
        <f t="shared" si="9"/>
        <v>3</v>
      </c>
      <c r="G70">
        <f t="shared" si="11"/>
        <v>12</v>
      </c>
      <c r="H70" s="20">
        <f t="shared" si="15"/>
        <v>-10960.348847090267</v>
      </c>
      <c r="I70" s="20">
        <f t="shared" si="12"/>
        <v>219.20697694180535</v>
      </c>
      <c r="J70" s="18">
        <f t="shared" si="13"/>
        <v>0</v>
      </c>
      <c r="K70" s="20">
        <f t="shared" si="8"/>
        <v>-11179.555824032072</v>
      </c>
      <c r="L70" s="20">
        <f t="shared" si="14"/>
        <v>-11179.555824032072</v>
      </c>
      <c r="M70" s="23"/>
    </row>
    <row r="71" spans="2:13" ht="12.75">
      <c r="B71">
        <v>55</v>
      </c>
      <c r="C71">
        <f t="shared" si="10"/>
        <v>3</v>
      </c>
      <c r="D71" s="28">
        <f>_XLL.VOSEPOISSON(AvgSalesRate)</f>
        <v>2</v>
      </c>
      <c r="E71">
        <f t="shared" si="6"/>
        <v>2</v>
      </c>
      <c r="F71">
        <f t="shared" si="9"/>
        <v>1</v>
      </c>
      <c r="G71">
        <f t="shared" si="11"/>
        <v>0</v>
      </c>
      <c r="H71" s="20">
        <f t="shared" si="15"/>
        <v>158820.44417596792</v>
      </c>
      <c r="I71" s="20">
        <f t="shared" si="12"/>
        <v>0</v>
      </c>
      <c r="J71" s="18">
        <f t="shared" si="13"/>
        <v>0</v>
      </c>
      <c r="K71" s="20">
        <f t="shared" si="8"/>
        <v>158820.44417596792</v>
      </c>
      <c r="L71" s="20">
        <f t="shared" si="14"/>
        <v>150820.44417596792</v>
      </c>
      <c r="M71" s="23"/>
    </row>
    <row r="72" spans="2:13" ht="12.75">
      <c r="B72">
        <v>56</v>
      </c>
      <c r="C72">
        <f t="shared" si="10"/>
        <v>13</v>
      </c>
      <c r="D72" s="28">
        <f>_XLL.VOSEPOISSON(AvgSalesRate)</f>
        <v>3</v>
      </c>
      <c r="E72">
        <f t="shared" si="6"/>
        <v>3</v>
      </c>
      <c r="F72">
        <f t="shared" si="9"/>
        <v>10</v>
      </c>
      <c r="G72">
        <f t="shared" si="11"/>
        <v>0</v>
      </c>
      <c r="H72" s="20">
        <f t="shared" si="15"/>
        <v>419820.44417596795</v>
      </c>
      <c r="I72" s="20">
        <f t="shared" si="12"/>
        <v>0</v>
      </c>
      <c r="J72" s="18">
        <f t="shared" si="13"/>
        <v>0</v>
      </c>
      <c r="K72" s="20">
        <f t="shared" si="8"/>
        <v>419820.44417596795</v>
      </c>
      <c r="L72" s="20">
        <f t="shared" si="14"/>
        <v>411820.44417596795</v>
      </c>
      <c r="M72" s="23"/>
    </row>
    <row r="73" spans="2:13" ht="12.75">
      <c r="B73">
        <v>57</v>
      </c>
      <c r="C73">
        <f t="shared" si="10"/>
        <v>10</v>
      </c>
      <c r="D73" s="28">
        <f>_XLL.VOSEPOISSON(AvgSalesRate)</f>
        <v>5</v>
      </c>
      <c r="E73">
        <f t="shared" si="6"/>
        <v>5</v>
      </c>
      <c r="F73">
        <f t="shared" si="9"/>
        <v>5</v>
      </c>
      <c r="G73">
        <f t="shared" si="11"/>
        <v>0</v>
      </c>
      <c r="H73" s="20">
        <f t="shared" si="15"/>
        <v>878820.444175968</v>
      </c>
      <c r="I73" s="20">
        <f t="shared" si="12"/>
        <v>0</v>
      </c>
      <c r="J73" s="18">
        <f t="shared" si="13"/>
        <v>0</v>
      </c>
      <c r="K73" s="20">
        <f t="shared" si="8"/>
        <v>878820.444175968</v>
      </c>
      <c r="L73" s="20">
        <f t="shared" si="14"/>
        <v>870820.444175968</v>
      </c>
      <c r="M73" s="23"/>
    </row>
    <row r="74" spans="2:13" ht="12.75">
      <c r="B74">
        <v>58</v>
      </c>
      <c r="C74">
        <f t="shared" si="10"/>
        <v>5</v>
      </c>
      <c r="D74" s="28">
        <f>_XLL.VOSEPOISSON(AvgSalesRate)</f>
        <v>4</v>
      </c>
      <c r="E74">
        <f t="shared" si="6"/>
        <v>4</v>
      </c>
      <c r="F74">
        <f t="shared" si="9"/>
        <v>1</v>
      </c>
      <c r="G74">
        <f t="shared" si="11"/>
        <v>14</v>
      </c>
      <c r="H74" s="20">
        <f t="shared" si="15"/>
        <v>118820.44417596795</v>
      </c>
      <c r="I74" s="20">
        <f t="shared" si="12"/>
        <v>0</v>
      </c>
      <c r="J74" s="18">
        <f t="shared" si="13"/>
        <v>0</v>
      </c>
      <c r="K74" s="20">
        <f t="shared" si="8"/>
        <v>118820.44417596795</v>
      </c>
      <c r="L74" s="20">
        <f t="shared" si="14"/>
        <v>110820.44417596795</v>
      </c>
      <c r="M74" s="23"/>
    </row>
    <row r="75" spans="2:13" ht="12.75">
      <c r="B75">
        <v>59</v>
      </c>
      <c r="C75">
        <f t="shared" si="10"/>
        <v>1</v>
      </c>
      <c r="D75" s="28">
        <f>_XLL.VOSEPOISSON(AvgSalesRate)</f>
        <v>4</v>
      </c>
      <c r="E75">
        <f t="shared" si="6"/>
        <v>1</v>
      </c>
      <c r="F75">
        <f t="shared" si="9"/>
        <v>0</v>
      </c>
      <c r="G75">
        <f t="shared" si="11"/>
        <v>0</v>
      </c>
      <c r="H75" s="20">
        <f t="shared" si="15"/>
        <v>181820.44417596795</v>
      </c>
      <c r="I75" s="20">
        <f t="shared" si="12"/>
        <v>0</v>
      </c>
      <c r="J75" s="18">
        <f t="shared" si="13"/>
        <v>0</v>
      </c>
      <c r="K75" s="20">
        <f t="shared" si="8"/>
        <v>181820.44417596795</v>
      </c>
      <c r="L75" s="20">
        <f t="shared" si="14"/>
        <v>173820.44417596795</v>
      </c>
      <c r="M75" s="23"/>
    </row>
    <row r="76" spans="2:13" ht="12.75">
      <c r="B76">
        <v>60</v>
      </c>
      <c r="C76">
        <f t="shared" si="10"/>
        <v>14</v>
      </c>
      <c r="D76" s="28">
        <f>_XLL.VOSEPOISSON(AvgSalesRate)</f>
        <v>1</v>
      </c>
      <c r="E76">
        <f t="shared" si="6"/>
        <v>1</v>
      </c>
      <c r="F76">
        <f t="shared" si="9"/>
        <v>13</v>
      </c>
      <c r="G76">
        <f t="shared" si="11"/>
        <v>0</v>
      </c>
      <c r="H76" s="20">
        <f t="shared" si="15"/>
        <v>244820.44417596795</v>
      </c>
      <c r="I76" s="20">
        <f t="shared" si="12"/>
        <v>0</v>
      </c>
      <c r="J76" s="18">
        <f t="shared" si="13"/>
        <v>86628.58879605221</v>
      </c>
      <c r="K76" s="20">
        <f t="shared" si="8"/>
        <v>158191.85537991574</v>
      </c>
      <c r="L76" s="20">
        <f t="shared" si="14"/>
        <v>150191.85537991574</v>
      </c>
      <c r="M76" s="23"/>
    </row>
    <row r="77" spans="2:13" ht="12.75">
      <c r="B77">
        <v>61</v>
      </c>
      <c r="C77">
        <f t="shared" si="10"/>
        <v>13</v>
      </c>
      <c r="D77" s="28">
        <f>_XLL.VOSEPOISSON(AvgSalesRate)</f>
        <v>2</v>
      </c>
      <c r="E77">
        <f t="shared" si="6"/>
        <v>2</v>
      </c>
      <c r="F77">
        <f t="shared" si="9"/>
        <v>11</v>
      </c>
      <c r="G77">
        <f t="shared" si="11"/>
        <v>0</v>
      </c>
      <c r="H77" s="20">
        <f t="shared" si="15"/>
        <v>320191.85537991574</v>
      </c>
      <c r="I77" s="20">
        <f t="shared" si="12"/>
        <v>0</v>
      </c>
      <c r="J77" s="18">
        <f t="shared" si="13"/>
        <v>0</v>
      </c>
      <c r="K77" s="20">
        <f t="shared" si="8"/>
        <v>320191.85537991574</v>
      </c>
      <c r="L77" s="20">
        <f t="shared" si="14"/>
        <v>312191.85537991574</v>
      </c>
      <c r="M77" s="23"/>
    </row>
    <row r="78" spans="2:13" ht="12.75">
      <c r="B78">
        <v>62</v>
      </c>
      <c r="C78">
        <f t="shared" si="10"/>
        <v>11</v>
      </c>
      <c r="D78" s="28">
        <f>_XLL.VOSEPOISSON(AvgSalesRate)</f>
        <v>2</v>
      </c>
      <c r="E78">
        <f t="shared" si="6"/>
        <v>2</v>
      </c>
      <c r="F78">
        <f t="shared" si="9"/>
        <v>9</v>
      </c>
      <c r="G78">
        <f t="shared" si="11"/>
        <v>0</v>
      </c>
      <c r="H78" s="20">
        <f t="shared" si="15"/>
        <v>482191.85537991574</v>
      </c>
      <c r="I78" s="20">
        <f t="shared" si="12"/>
        <v>0</v>
      </c>
      <c r="J78" s="18">
        <f t="shared" si="13"/>
        <v>0</v>
      </c>
      <c r="K78" s="20">
        <f t="shared" si="8"/>
        <v>482191.85537991574</v>
      </c>
      <c r="L78" s="20">
        <f t="shared" si="14"/>
        <v>474191.85537991574</v>
      </c>
      <c r="M78" s="23"/>
    </row>
    <row r="79" spans="2:13" ht="12.75">
      <c r="B79">
        <v>63</v>
      </c>
      <c r="C79">
        <f t="shared" si="10"/>
        <v>9</v>
      </c>
      <c r="D79" s="28">
        <f>_XLL.VOSEPOISSON(AvgSalesRate)</f>
        <v>2</v>
      </c>
      <c r="E79">
        <f t="shared" si="6"/>
        <v>2</v>
      </c>
      <c r="F79">
        <f t="shared" si="9"/>
        <v>7</v>
      </c>
      <c r="G79">
        <f t="shared" si="11"/>
        <v>0</v>
      </c>
      <c r="H79" s="20">
        <f t="shared" si="15"/>
        <v>644191.8553799158</v>
      </c>
      <c r="I79" s="20">
        <f t="shared" si="12"/>
        <v>0</v>
      </c>
      <c r="J79" s="18">
        <f t="shared" si="13"/>
        <v>0</v>
      </c>
      <c r="K79" s="20">
        <f t="shared" si="8"/>
        <v>644191.8553799158</v>
      </c>
      <c r="L79" s="20">
        <f t="shared" si="14"/>
        <v>636191.8553799158</v>
      </c>
      <c r="M79" s="23"/>
    </row>
    <row r="80" spans="2:13" ht="12.75">
      <c r="B80">
        <v>64</v>
      </c>
      <c r="C80">
        <f t="shared" si="10"/>
        <v>7</v>
      </c>
      <c r="D80" s="28">
        <f>_XLL.VOSEPOISSON(AvgSalesRate)</f>
        <v>2</v>
      </c>
      <c r="E80">
        <f t="shared" si="6"/>
        <v>2</v>
      </c>
      <c r="F80">
        <f aca="true" t="shared" si="16" ref="F80:F111">C80-E80</f>
        <v>5</v>
      </c>
      <c r="G80">
        <f t="shared" si="11"/>
        <v>0</v>
      </c>
      <c r="H80" s="20">
        <f t="shared" si="15"/>
        <v>806191.8553799158</v>
      </c>
      <c r="I80" s="20">
        <f t="shared" si="12"/>
        <v>0</v>
      </c>
      <c r="J80" s="18">
        <f t="shared" si="13"/>
        <v>0</v>
      </c>
      <c r="K80" s="20">
        <f t="shared" si="8"/>
        <v>806191.8553799158</v>
      </c>
      <c r="L80" s="20">
        <f t="shared" si="14"/>
        <v>798191.8553799158</v>
      </c>
      <c r="M80" s="23"/>
    </row>
    <row r="81" spans="2:13" ht="12.75">
      <c r="B81">
        <v>65</v>
      </c>
      <c r="C81">
        <f aca="true" t="shared" si="17" ref="C81:C112">C80-E80+G79</f>
        <v>5</v>
      </c>
      <c r="D81" s="28">
        <f>_XLL.VOSEPOISSON(AvgSalesRate)</f>
        <v>1</v>
      </c>
      <c r="E81">
        <f t="shared" si="6"/>
        <v>1</v>
      </c>
      <c r="F81">
        <f t="shared" si="16"/>
        <v>4</v>
      </c>
      <c r="G81">
        <f aca="true" t="shared" si="18" ref="G81:G112">IF(F81+G80&lt;MinimumStock,MaximumStock-F81-G80,0)</f>
        <v>11</v>
      </c>
      <c r="H81" s="20">
        <f t="shared" si="15"/>
        <v>-10808.144620084204</v>
      </c>
      <c r="I81" s="20">
        <f aca="true" t="shared" si="19" ref="I81:I112">IF(H81&lt;0,-H81*CostOfDebt,0)</f>
        <v>216.16289240168408</v>
      </c>
      <c r="J81" s="18">
        <f aca="true" t="shared" si="20" ref="J81:J112">IF(AND(MOD(B81,12)=0,SUM(E70:E81)*(SalePrice-PurchasePrice)-SUM(I70:I81)-12*MonthlyCosts&gt;0),(SUM(E70:E81)*(SalePrice-PurchasePrice)-SUM(I70:I81)-12*MonthlyCosts)*TaxRate,0)</f>
        <v>0</v>
      </c>
      <c r="K81" s="20">
        <f t="shared" si="8"/>
        <v>-11024.307512485888</v>
      </c>
      <c r="L81" s="20">
        <f aca="true" t="shared" si="21" ref="L81:L112">K81-IF(K81&gt;dividends,dividends,0)</f>
        <v>-11024.307512485888</v>
      </c>
      <c r="M81" s="23"/>
    </row>
    <row r="82" spans="2:13" ht="12.75">
      <c r="B82">
        <v>66</v>
      </c>
      <c r="C82">
        <f t="shared" si="17"/>
        <v>4</v>
      </c>
      <c r="D82" s="28">
        <f>_XLL.VOSEPOISSON(AvgSalesRate)</f>
        <v>0</v>
      </c>
      <c r="E82">
        <f aca="true" t="shared" si="22" ref="E82:E136">MIN(D82,C82)</f>
        <v>0</v>
      </c>
      <c r="F82">
        <f t="shared" si="16"/>
        <v>4</v>
      </c>
      <c r="G82">
        <f t="shared" si="18"/>
        <v>0</v>
      </c>
      <c r="H82" s="20">
        <f aca="true" t="shared" si="23" ref="H82:H113">L81+E82*SalePrice-G82*PurchasePrice-MonthlyCosts</f>
        <v>-39024.30751248589</v>
      </c>
      <c r="I82" s="20">
        <f t="shared" si="19"/>
        <v>780.4861502497178</v>
      </c>
      <c r="J82" s="18">
        <f t="shared" si="20"/>
        <v>0</v>
      </c>
      <c r="K82" s="20">
        <f aca="true" t="shared" si="24" ref="K82:K136">H82-J82-I82</f>
        <v>-39804.7936627356</v>
      </c>
      <c r="L82" s="20">
        <f t="shared" si="21"/>
        <v>-39804.7936627356</v>
      </c>
      <c r="M82" s="23"/>
    </row>
    <row r="83" spans="2:13" ht="12.75">
      <c r="B83">
        <v>67</v>
      </c>
      <c r="C83">
        <f t="shared" si="17"/>
        <v>15</v>
      </c>
      <c r="D83" s="28">
        <f>_XLL.VOSEPOISSON(AvgSalesRate)</f>
        <v>4</v>
      </c>
      <c r="E83">
        <f t="shared" si="22"/>
        <v>4</v>
      </c>
      <c r="F83">
        <f t="shared" si="16"/>
        <v>11</v>
      </c>
      <c r="G83">
        <f t="shared" si="18"/>
        <v>0</v>
      </c>
      <c r="H83" s="20">
        <f t="shared" si="23"/>
        <v>328195.2063372644</v>
      </c>
      <c r="I83" s="20">
        <f t="shared" si="19"/>
        <v>0</v>
      </c>
      <c r="J83" s="18">
        <f t="shared" si="20"/>
        <v>0</v>
      </c>
      <c r="K83" s="20">
        <f t="shared" si="24"/>
        <v>328195.2063372644</v>
      </c>
      <c r="L83" s="20">
        <f t="shared" si="21"/>
        <v>320195.2063372644</v>
      </c>
      <c r="M83" s="23"/>
    </row>
    <row r="84" spans="2:13" ht="12.75">
      <c r="B84">
        <v>68</v>
      </c>
      <c r="C84">
        <f t="shared" si="17"/>
        <v>11</v>
      </c>
      <c r="D84" s="28">
        <f>_XLL.VOSEPOISSON(AvgSalesRate)</f>
        <v>3</v>
      </c>
      <c r="E84">
        <f t="shared" si="22"/>
        <v>3</v>
      </c>
      <c r="F84">
        <f t="shared" si="16"/>
        <v>8</v>
      </c>
      <c r="G84">
        <f t="shared" si="18"/>
        <v>0</v>
      </c>
      <c r="H84" s="20">
        <f t="shared" si="23"/>
        <v>589195.2063372644</v>
      </c>
      <c r="I84" s="20">
        <f t="shared" si="19"/>
        <v>0</v>
      </c>
      <c r="J84" s="18">
        <f t="shared" si="20"/>
        <v>0</v>
      </c>
      <c r="K84" s="20">
        <f t="shared" si="24"/>
        <v>589195.2063372644</v>
      </c>
      <c r="L84" s="20">
        <f t="shared" si="21"/>
        <v>581195.2063372644</v>
      </c>
      <c r="M84" s="23"/>
    </row>
    <row r="85" spans="2:13" ht="12.75">
      <c r="B85">
        <v>69</v>
      </c>
      <c r="C85">
        <f t="shared" si="17"/>
        <v>8</v>
      </c>
      <c r="D85" s="28">
        <f>_XLL.VOSEPOISSON(AvgSalesRate)</f>
        <v>3</v>
      </c>
      <c r="E85">
        <f t="shared" si="22"/>
        <v>3</v>
      </c>
      <c r="F85">
        <f t="shared" si="16"/>
        <v>5</v>
      </c>
      <c r="G85">
        <f t="shared" si="18"/>
        <v>0</v>
      </c>
      <c r="H85" s="20">
        <f t="shared" si="23"/>
        <v>850195.2063372644</v>
      </c>
      <c r="I85" s="20">
        <f t="shared" si="19"/>
        <v>0</v>
      </c>
      <c r="J85" s="18">
        <f t="shared" si="20"/>
        <v>0</v>
      </c>
      <c r="K85" s="20">
        <f t="shared" si="24"/>
        <v>850195.2063372644</v>
      </c>
      <c r="L85" s="20">
        <f t="shared" si="21"/>
        <v>842195.2063372644</v>
      </c>
      <c r="M85" s="23"/>
    </row>
    <row r="86" spans="2:13" ht="12.75">
      <c r="B86">
        <v>70</v>
      </c>
      <c r="C86">
        <f t="shared" si="17"/>
        <v>5</v>
      </c>
      <c r="D86" s="28">
        <f>_XLL.VOSEPOISSON(AvgSalesRate)</f>
        <v>2</v>
      </c>
      <c r="E86">
        <f t="shared" si="22"/>
        <v>2</v>
      </c>
      <c r="F86">
        <f t="shared" si="16"/>
        <v>3</v>
      </c>
      <c r="G86">
        <f t="shared" si="18"/>
        <v>12</v>
      </c>
      <c r="H86" s="20">
        <f t="shared" si="23"/>
        <v>52195.20633726439</v>
      </c>
      <c r="I86" s="20">
        <f t="shared" si="19"/>
        <v>0</v>
      </c>
      <c r="J86" s="18">
        <f t="shared" si="20"/>
        <v>0</v>
      </c>
      <c r="K86" s="20">
        <f t="shared" si="24"/>
        <v>52195.20633726439</v>
      </c>
      <c r="L86" s="20">
        <f t="shared" si="21"/>
        <v>44195.20633726439</v>
      </c>
      <c r="M86" s="23"/>
    </row>
    <row r="87" spans="2:13" ht="12.75">
      <c r="B87">
        <v>71</v>
      </c>
      <c r="C87">
        <f t="shared" si="17"/>
        <v>3</v>
      </c>
      <c r="D87" s="28">
        <f>_XLL.VOSEPOISSON(AvgSalesRate)</f>
        <v>4</v>
      </c>
      <c r="E87">
        <f t="shared" si="22"/>
        <v>3</v>
      </c>
      <c r="F87">
        <f t="shared" si="16"/>
        <v>0</v>
      </c>
      <c r="G87">
        <f t="shared" si="18"/>
        <v>0</v>
      </c>
      <c r="H87" s="20">
        <f t="shared" si="23"/>
        <v>313195.2063372644</v>
      </c>
      <c r="I87" s="20">
        <f t="shared" si="19"/>
        <v>0</v>
      </c>
      <c r="J87" s="18">
        <f t="shared" si="20"/>
        <v>0</v>
      </c>
      <c r="K87" s="20">
        <f t="shared" si="24"/>
        <v>313195.2063372644</v>
      </c>
      <c r="L87" s="20">
        <f t="shared" si="21"/>
        <v>305195.2063372644</v>
      </c>
      <c r="M87" s="23"/>
    </row>
    <row r="88" spans="2:13" ht="12.75">
      <c r="B88">
        <v>72</v>
      </c>
      <c r="C88">
        <f t="shared" si="17"/>
        <v>12</v>
      </c>
      <c r="D88" s="28">
        <f>_XLL.VOSEPOISSON(AvgSalesRate)</f>
        <v>5</v>
      </c>
      <c r="E88">
        <f t="shared" si="22"/>
        <v>5</v>
      </c>
      <c r="F88">
        <f t="shared" si="16"/>
        <v>7</v>
      </c>
      <c r="G88">
        <f t="shared" si="18"/>
        <v>0</v>
      </c>
      <c r="H88" s="20">
        <f t="shared" si="23"/>
        <v>772195.2063372644</v>
      </c>
      <c r="I88" s="20">
        <f t="shared" si="19"/>
        <v>0</v>
      </c>
      <c r="J88" s="18">
        <f t="shared" si="20"/>
        <v>64201.00528720458</v>
      </c>
      <c r="K88" s="20">
        <f t="shared" si="24"/>
        <v>707994.2010500599</v>
      </c>
      <c r="L88" s="20">
        <f t="shared" si="21"/>
        <v>699994.2010500599</v>
      </c>
      <c r="M88" s="23"/>
    </row>
    <row r="89" spans="2:13" ht="12.75">
      <c r="B89">
        <v>73</v>
      </c>
      <c r="C89">
        <f t="shared" si="17"/>
        <v>7</v>
      </c>
      <c r="D89" s="28">
        <f>_XLL.VOSEPOISSON(AvgSalesRate)</f>
        <v>2</v>
      </c>
      <c r="E89">
        <f t="shared" si="22"/>
        <v>2</v>
      </c>
      <c r="F89">
        <f t="shared" si="16"/>
        <v>5</v>
      </c>
      <c r="G89">
        <f t="shared" si="18"/>
        <v>0</v>
      </c>
      <c r="H89" s="20">
        <f t="shared" si="23"/>
        <v>869994.2010500599</v>
      </c>
      <c r="I89" s="20">
        <f t="shared" si="19"/>
        <v>0</v>
      </c>
      <c r="J89" s="18">
        <f t="shared" si="20"/>
        <v>0</v>
      </c>
      <c r="K89" s="20">
        <f t="shared" si="24"/>
        <v>869994.2010500599</v>
      </c>
      <c r="L89" s="20">
        <f t="shared" si="21"/>
        <v>861994.2010500599</v>
      </c>
      <c r="M89" s="23"/>
    </row>
    <row r="90" spans="2:13" ht="12.75">
      <c r="B90">
        <v>74</v>
      </c>
      <c r="C90">
        <f t="shared" si="17"/>
        <v>5</v>
      </c>
      <c r="D90" s="28">
        <f>_XLL.VOSEPOISSON(AvgSalesRate)</f>
        <v>4</v>
      </c>
      <c r="E90">
        <f t="shared" si="22"/>
        <v>4</v>
      </c>
      <c r="F90">
        <f t="shared" si="16"/>
        <v>1</v>
      </c>
      <c r="G90">
        <f t="shared" si="18"/>
        <v>14</v>
      </c>
      <c r="H90" s="20">
        <f t="shared" si="23"/>
        <v>109994.20105005987</v>
      </c>
      <c r="I90" s="20">
        <f t="shared" si="19"/>
        <v>0</v>
      </c>
      <c r="J90" s="18">
        <f t="shared" si="20"/>
        <v>0</v>
      </c>
      <c r="K90" s="20">
        <f t="shared" si="24"/>
        <v>109994.20105005987</v>
      </c>
      <c r="L90" s="20">
        <f t="shared" si="21"/>
        <v>101994.20105005987</v>
      </c>
      <c r="M90" s="23"/>
    </row>
    <row r="91" spans="2:13" ht="12.75">
      <c r="B91">
        <v>75</v>
      </c>
      <c r="C91">
        <f t="shared" si="17"/>
        <v>1</v>
      </c>
      <c r="D91" s="28">
        <f>_XLL.VOSEPOISSON(AvgSalesRate)</f>
        <v>0</v>
      </c>
      <c r="E91">
        <f t="shared" si="22"/>
        <v>0</v>
      </c>
      <c r="F91">
        <f t="shared" si="16"/>
        <v>1</v>
      </c>
      <c r="G91">
        <f t="shared" si="18"/>
        <v>0</v>
      </c>
      <c r="H91" s="20">
        <f t="shared" si="23"/>
        <v>73994.20105005987</v>
      </c>
      <c r="I91" s="20">
        <f t="shared" si="19"/>
        <v>0</v>
      </c>
      <c r="J91" s="18">
        <f t="shared" si="20"/>
        <v>0</v>
      </c>
      <c r="K91" s="20">
        <f t="shared" si="24"/>
        <v>73994.20105005987</v>
      </c>
      <c r="L91" s="20">
        <f t="shared" si="21"/>
        <v>65994.20105005987</v>
      </c>
      <c r="M91" s="23"/>
    </row>
    <row r="92" spans="2:13" ht="12.75">
      <c r="B92">
        <v>76</v>
      </c>
      <c r="C92">
        <f t="shared" si="17"/>
        <v>15</v>
      </c>
      <c r="D92" s="28">
        <f>_XLL.VOSEPOISSON(AvgSalesRate)</f>
        <v>6</v>
      </c>
      <c r="E92">
        <f t="shared" si="22"/>
        <v>6</v>
      </c>
      <c r="F92">
        <f t="shared" si="16"/>
        <v>9</v>
      </c>
      <c r="G92">
        <f t="shared" si="18"/>
        <v>0</v>
      </c>
      <c r="H92" s="20">
        <f t="shared" si="23"/>
        <v>631994.2010500599</v>
      </c>
      <c r="I92" s="20">
        <f t="shared" si="19"/>
        <v>0</v>
      </c>
      <c r="J92" s="18">
        <f t="shared" si="20"/>
        <v>0</v>
      </c>
      <c r="K92" s="20">
        <f t="shared" si="24"/>
        <v>631994.2010500599</v>
      </c>
      <c r="L92" s="20">
        <f t="shared" si="21"/>
        <v>623994.2010500599</v>
      </c>
      <c r="M92" s="23"/>
    </row>
    <row r="93" spans="2:13" ht="12.75">
      <c r="B93">
        <v>77</v>
      </c>
      <c r="C93">
        <f t="shared" si="17"/>
        <v>9</v>
      </c>
      <c r="D93" s="28">
        <f>_XLL.VOSEPOISSON(AvgSalesRate)</f>
        <v>2</v>
      </c>
      <c r="E93">
        <f t="shared" si="22"/>
        <v>2</v>
      </c>
      <c r="F93">
        <f t="shared" si="16"/>
        <v>7</v>
      </c>
      <c r="G93">
        <f t="shared" si="18"/>
        <v>0</v>
      </c>
      <c r="H93" s="20">
        <f t="shared" si="23"/>
        <v>793994.2010500599</v>
      </c>
      <c r="I93" s="20">
        <f t="shared" si="19"/>
        <v>0</v>
      </c>
      <c r="J93" s="18">
        <f t="shared" si="20"/>
        <v>0</v>
      </c>
      <c r="K93" s="20">
        <f t="shared" si="24"/>
        <v>793994.2010500599</v>
      </c>
      <c r="L93" s="20">
        <f t="shared" si="21"/>
        <v>785994.2010500599</v>
      </c>
      <c r="M93" s="23"/>
    </row>
    <row r="94" spans="2:13" ht="12.75">
      <c r="B94">
        <v>78</v>
      </c>
      <c r="C94">
        <f t="shared" si="17"/>
        <v>7</v>
      </c>
      <c r="D94" s="28">
        <f>_XLL.VOSEPOISSON(AvgSalesRate)</f>
        <v>4</v>
      </c>
      <c r="E94">
        <f t="shared" si="22"/>
        <v>4</v>
      </c>
      <c r="F94">
        <f t="shared" si="16"/>
        <v>3</v>
      </c>
      <c r="G94">
        <f t="shared" si="18"/>
        <v>12</v>
      </c>
      <c r="H94" s="20">
        <f t="shared" si="23"/>
        <v>193994.20105005987</v>
      </c>
      <c r="I94" s="20">
        <f t="shared" si="19"/>
        <v>0</v>
      </c>
      <c r="J94" s="18">
        <f t="shared" si="20"/>
        <v>0</v>
      </c>
      <c r="K94" s="20">
        <f t="shared" si="24"/>
        <v>193994.20105005987</v>
      </c>
      <c r="L94" s="20">
        <f t="shared" si="21"/>
        <v>185994.20105005987</v>
      </c>
      <c r="M94" s="23"/>
    </row>
    <row r="95" spans="2:13" ht="12.75">
      <c r="B95">
        <v>79</v>
      </c>
      <c r="C95">
        <f t="shared" si="17"/>
        <v>3</v>
      </c>
      <c r="D95" s="28">
        <f>_XLL.VOSEPOISSON(AvgSalesRate)</f>
        <v>0</v>
      </c>
      <c r="E95">
        <f t="shared" si="22"/>
        <v>0</v>
      </c>
      <c r="F95">
        <f t="shared" si="16"/>
        <v>3</v>
      </c>
      <c r="G95">
        <f t="shared" si="18"/>
        <v>0</v>
      </c>
      <c r="H95" s="20">
        <f t="shared" si="23"/>
        <v>157994.20105005987</v>
      </c>
      <c r="I95" s="20">
        <f t="shared" si="19"/>
        <v>0</v>
      </c>
      <c r="J95" s="18">
        <f t="shared" si="20"/>
        <v>0</v>
      </c>
      <c r="K95" s="20">
        <f t="shared" si="24"/>
        <v>157994.20105005987</v>
      </c>
      <c r="L95" s="20">
        <f t="shared" si="21"/>
        <v>149994.20105005987</v>
      </c>
      <c r="M95" s="23"/>
    </row>
    <row r="96" spans="2:13" ht="12.75">
      <c r="B96">
        <v>80</v>
      </c>
      <c r="C96">
        <f t="shared" si="17"/>
        <v>15</v>
      </c>
      <c r="D96" s="28">
        <f>_XLL.VOSEPOISSON(AvgSalesRate)</f>
        <v>3</v>
      </c>
      <c r="E96">
        <f t="shared" si="22"/>
        <v>3</v>
      </c>
      <c r="F96">
        <f t="shared" si="16"/>
        <v>12</v>
      </c>
      <c r="G96">
        <f t="shared" si="18"/>
        <v>0</v>
      </c>
      <c r="H96" s="20">
        <f t="shared" si="23"/>
        <v>418994.20105005987</v>
      </c>
      <c r="I96" s="20">
        <f t="shared" si="19"/>
        <v>0</v>
      </c>
      <c r="J96" s="18">
        <f t="shared" si="20"/>
        <v>0</v>
      </c>
      <c r="K96" s="20">
        <f t="shared" si="24"/>
        <v>418994.20105005987</v>
      </c>
      <c r="L96" s="20">
        <f t="shared" si="21"/>
        <v>410994.20105005987</v>
      </c>
      <c r="M96" s="23"/>
    </row>
    <row r="97" spans="2:13" ht="12.75">
      <c r="B97">
        <v>81</v>
      </c>
      <c r="C97">
        <f t="shared" si="17"/>
        <v>12</v>
      </c>
      <c r="D97" s="28">
        <f>_XLL.VOSEPOISSON(AvgSalesRate)</f>
        <v>1</v>
      </c>
      <c r="E97">
        <f t="shared" si="22"/>
        <v>1</v>
      </c>
      <c r="F97">
        <f t="shared" si="16"/>
        <v>11</v>
      </c>
      <c r="G97">
        <f t="shared" si="18"/>
        <v>0</v>
      </c>
      <c r="H97" s="20">
        <f t="shared" si="23"/>
        <v>481994.20105005987</v>
      </c>
      <c r="I97" s="20">
        <f t="shared" si="19"/>
        <v>0</v>
      </c>
      <c r="J97" s="18">
        <f t="shared" si="20"/>
        <v>0</v>
      </c>
      <c r="K97" s="20">
        <f t="shared" si="24"/>
        <v>481994.20105005987</v>
      </c>
      <c r="L97" s="20">
        <f t="shared" si="21"/>
        <v>473994.20105005987</v>
      </c>
      <c r="M97" s="23"/>
    </row>
    <row r="98" spans="2:13" ht="12.75">
      <c r="B98">
        <v>82</v>
      </c>
      <c r="C98">
        <f t="shared" si="17"/>
        <v>11</v>
      </c>
      <c r="D98" s="28">
        <f>_XLL.VOSEPOISSON(AvgSalesRate)</f>
        <v>2</v>
      </c>
      <c r="E98">
        <f t="shared" si="22"/>
        <v>2</v>
      </c>
      <c r="F98">
        <f t="shared" si="16"/>
        <v>9</v>
      </c>
      <c r="G98">
        <f t="shared" si="18"/>
        <v>0</v>
      </c>
      <c r="H98" s="20">
        <f t="shared" si="23"/>
        <v>643994.2010500599</v>
      </c>
      <c r="I98" s="20">
        <f t="shared" si="19"/>
        <v>0</v>
      </c>
      <c r="J98" s="18">
        <f t="shared" si="20"/>
        <v>0</v>
      </c>
      <c r="K98" s="20">
        <f t="shared" si="24"/>
        <v>643994.2010500599</v>
      </c>
      <c r="L98" s="20">
        <f t="shared" si="21"/>
        <v>635994.2010500599</v>
      </c>
      <c r="M98" s="23"/>
    </row>
    <row r="99" spans="2:13" ht="12.75">
      <c r="B99">
        <v>83</v>
      </c>
      <c r="C99">
        <f t="shared" si="17"/>
        <v>9</v>
      </c>
      <c r="D99" s="28">
        <f>_XLL.VOSEPOISSON(AvgSalesRate)</f>
        <v>0</v>
      </c>
      <c r="E99">
        <f t="shared" si="22"/>
        <v>0</v>
      </c>
      <c r="F99">
        <f t="shared" si="16"/>
        <v>9</v>
      </c>
      <c r="G99">
        <f t="shared" si="18"/>
        <v>0</v>
      </c>
      <c r="H99" s="20">
        <f t="shared" si="23"/>
        <v>607994.2010500599</v>
      </c>
      <c r="I99" s="20">
        <f t="shared" si="19"/>
        <v>0</v>
      </c>
      <c r="J99" s="18">
        <f t="shared" si="20"/>
        <v>0</v>
      </c>
      <c r="K99" s="20">
        <f t="shared" si="24"/>
        <v>607994.2010500599</v>
      </c>
      <c r="L99" s="20">
        <f t="shared" si="21"/>
        <v>599994.2010500599</v>
      </c>
      <c r="M99" s="23"/>
    </row>
    <row r="100" spans="2:13" ht="12.75">
      <c r="B100">
        <v>84</v>
      </c>
      <c r="C100">
        <f t="shared" si="17"/>
        <v>9</v>
      </c>
      <c r="D100" s="28">
        <f>_XLL.VOSEPOISSON(AvgSalesRate)</f>
        <v>5</v>
      </c>
      <c r="E100">
        <f t="shared" si="22"/>
        <v>5</v>
      </c>
      <c r="F100">
        <f t="shared" si="16"/>
        <v>4</v>
      </c>
      <c r="G100">
        <f t="shared" si="18"/>
        <v>11</v>
      </c>
      <c r="H100" s="20">
        <f t="shared" si="23"/>
        <v>186994.20105005987</v>
      </c>
      <c r="I100" s="20">
        <f t="shared" si="19"/>
        <v>0</v>
      </c>
      <c r="J100" s="18">
        <f t="shared" si="20"/>
        <v>64500</v>
      </c>
      <c r="K100" s="20">
        <f t="shared" si="24"/>
        <v>122494.20105005987</v>
      </c>
      <c r="L100" s="20">
        <f t="shared" si="21"/>
        <v>114494.20105005987</v>
      </c>
      <c r="M100" s="23"/>
    </row>
    <row r="101" spans="2:13" ht="12.75">
      <c r="B101">
        <v>85</v>
      </c>
      <c r="C101">
        <f t="shared" si="17"/>
        <v>4</v>
      </c>
      <c r="D101" s="28">
        <f>_XLL.VOSEPOISSON(AvgSalesRate)</f>
        <v>2</v>
      </c>
      <c r="E101">
        <f t="shared" si="22"/>
        <v>2</v>
      </c>
      <c r="F101">
        <f t="shared" si="16"/>
        <v>2</v>
      </c>
      <c r="G101">
        <f t="shared" si="18"/>
        <v>0</v>
      </c>
      <c r="H101" s="20">
        <f t="shared" si="23"/>
        <v>284494.20105005987</v>
      </c>
      <c r="I101" s="20">
        <f t="shared" si="19"/>
        <v>0</v>
      </c>
      <c r="J101" s="18">
        <f t="shared" si="20"/>
        <v>0</v>
      </c>
      <c r="K101" s="20">
        <f t="shared" si="24"/>
        <v>284494.20105005987</v>
      </c>
      <c r="L101" s="20">
        <f t="shared" si="21"/>
        <v>276494.20105005987</v>
      </c>
      <c r="M101" s="23"/>
    </row>
    <row r="102" spans="2:13" ht="12.75">
      <c r="B102">
        <v>86</v>
      </c>
      <c r="C102">
        <f t="shared" si="17"/>
        <v>13</v>
      </c>
      <c r="D102" s="28">
        <f>_XLL.VOSEPOISSON(AvgSalesRate)</f>
        <v>0</v>
      </c>
      <c r="E102">
        <f t="shared" si="22"/>
        <v>0</v>
      </c>
      <c r="F102">
        <f t="shared" si="16"/>
        <v>13</v>
      </c>
      <c r="G102">
        <f t="shared" si="18"/>
        <v>0</v>
      </c>
      <c r="H102" s="20">
        <f t="shared" si="23"/>
        <v>248494.20105005987</v>
      </c>
      <c r="I102" s="20">
        <f t="shared" si="19"/>
        <v>0</v>
      </c>
      <c r="J102" s="18">
        <f t="shared" si="20"/>
        <v>0</v>
      </c>
      <c r="K102" s="20">
        <f t="shared" si="24"/>
        <v>248494.20105005987</v>
      </c>
      <c r="L102" s="20">
        <f t="shared" si="21"/>
        <v>240494.20105005987</v>
      </c>
      <c r="M102" s="23"/>
    </row>
    <row r="103" spans="2:13" ht="12.75">
      <c r="B103">
        <v>87</v>
      </c>
      <c r="C103">
        <f t="shared" si="17"/>
        <v>13</v>
      </c>
      <c r="D103" s="28">
        <f>_XLL.VOSEPOISSON(AvgSalesRate)</f>
        <v>3</v>
      </c>
      <c r="E103">
        <f t="shared" si="22"/>
        <v>3</v>
      </c>
      <c r="F103">
        <f t="shared" si="16"/>
        <v>10</v>
      </c>
      <c r="G103">
        <f t="shared" si="18"/>
        <v>0</v>
      </c>
      <c r="H103" s="20">
        <f t="shared" si="23"/>
        <v>509494.20105005987</v>
      </c>
      <c r="I103" s="20">
        <f t="shared" si="19"/>
        <v>0</v>
      </c>
      <c r="J103" s="18">
        <f t="shared" si="20"/>
        <v>0</v>
      </c>
      <c r="K103" s="20">
        <f t="shared" si="24"/>
        <v>509494.20105005987</v>
      </c>
      <c r="L103" s="20">
        <f t="shared" si="21"/>
        <v>501494.20105005987</v>
      </c>
      <c r="M103" s="23"/>
    </row>
    <row r="104" spans="2:13" ht="12.75">
      <c r="B104">
        <v>88</v>
      </c>
      <c r="C104">
        <f t="shared" si="17"/>
        <v>10</v>
      </c>
      <c r="D104" s="28">
        <f>_XLL.VOSEPOISSON(AvgSalesRate)</f>
        <v>2</v>
      </c>
      <c r="E104">
        <f t="shared" si="22"/>
        <v>2</v>
      </c>
      <c r="F104">
        <f t="shared" si="16"/>
        <v>8</v>
      </c>
      <c r="G104">
        <f t="shared" si="18"/>
        <v>0</v>
      </c>
      <c r="H104" s="20">
        <f t="shared" si="23"/>
        <v>671494.2010500599</v>
      </c>
      <c r="I104" s="20">
        <f t="shared" si="19"/>
        <v>0</v>
      </c>
      <c r="J104" s="18">
        <f t="shared" si="20"/>
        <v>0</v>
      </c>
      <c r="K104" s="20">
        <f t="shared" si="24"/>
        <v>671494.2010500599</v>
      </c>
      <c r="L104" s="20">
        <f t="shared" si="21"/>
        <v>663494.2010500599</v>
      </c>
      <c r="M104" s="23"/>
    </row>
    <row r="105" spans="2:13" ht="12.75">
      <c r="B105">
        <v>89</v>
      </c>
      <c r="C105">
        <f t="shared" si="17"/>
        <v>8</v>
      </c>
      <c r="D105" s="28">
        <f>_XLL.VOSEPOISSON(AvgSalesRate)</f>
        <v>2</v>
      </c>
      <c r="E105">
        <f t="shared" si="22"/>
        <v>2</v>
      </c>
      <c r="F105">
        <f t="shared" si="16"/>
        <v>6</v>
      </c>
      <c r="G105">
        <f t="shared" si="18"/>
        <v>0</v>
      </c>
      <c r="H105" s="20">
        <f t="shared" si="23"/>
        <v>833494.2010500599</v>
      </c>
      <c r="I105" s="20">
        <f t="shared" si="19"/>
        <v>0</v>
      </c>
      <c r="J105" s="18">
        <f t="shared" si="20"/>
        <v>0</v>
      </c>
      <c r="K105" s="20">
        <f t="shared" si="24"/>
        <v>833494.2010500599</v>
      </c>
      <c r="L105" s="20">
        <f t="shared" si="21"/>
        <v>825494.2010500599</v>
      </c>
      <c r="M105" s="23"/>
    </row>
    <row r="106" spans="2:13" ht="12.75">
      <c r="B106">
        <v>90</v>
      </c>
      <c r="C106">
        <f t="shared" si="17"/>
        <v>6</v>
      </c>
      <c r="D106" s="28">
        <f>_XLL.VOSEPOISSON(AvgSalesRate)</f>
        <v>4</v>
      </c>
      <c r="E106">
        <f t="shared" si="22"/>
        <v>4</v>
      </c>
      <c r="F106">
        <f t="shared" si="16"/>
        <v>2</v>
      </c>
      <c r="G106">
        <f t="shared" si="18"/>
        <v>13</v>
      </c>
      <c r="H106" s="20">
        <f t="shared" si="23"/>
        <v>153494.20105005987</v>
      </c>
      <c r="I106" s="20">
        <f t="shared" si="19"/>
        <v>0</v>
      </c>
      <c r="J106" s="18">
        <f t="shared" si="20"/>
        <v>0</v>
      </c>
      <c r="K106" s="20">
        <f t="shared" si="24"/>
        <v>153494.20105005987</v>
      </c>
      <c r="L106" s="20">
        <f t="shared" si="21"/>
        <v>145494.20105005987</v>
      </c>
      <c r="M106" s="23"/>
    </row>
    <row r="107" spans="2:13" ht="12.75">
      <c r="B107">
        <v>91</v>
      </c>
      <c r="C107">
        <f t="shared" si="17"/>
        <v>2</v>
      </c>
      <c r="D107" s="28">
        <f>_XLL.VOSEPOISSON(AvgSalesRate)</f>
        <v>5</v>
      </c>
      <c r="E107">
        <f t="shared" si="22"/>
        <v>2</v>
      </c>
      <c r="F107">
        <f t="shared" si="16"/>
        <v>0</v>
      </c>
      <c r="G107">
        <f t="shared" si="18"/>
        <v>0</v>
      </c>
      <c r="H107" s="20">
        <f t="shared" si="23"/>
        <v>315494.20105005987</v>
      </c>
      <c r="I107" s="20">
        <f t="shared" si="19"/>
        <v>0</v>
      </c>
      <c r="J107" s="18">
        <f t="shared" si="20"/>
        <v>0</v>
      </c>
      <c r="K107" s="20">
        <f t="shared" si="24"/>
        <v>315494.20105005987</v>
      </c>
      <c r="L107" s="20">
        <f t="shared" si="21"/>
        <v>307494.20105005987</v>
      </c>
      <c r="M107" s="23"/>
    </row>
    <row r="108" spans="2:13" ht="12.75">
      <c r="B108">
        <v>92</v>
      </c>
      <c r="C108">
        <f t="shared" si="17"/>
        <v>13</v>
      </c>
      <c r="D108" s="28">
        <f>_XLL.VOSEPOISSON(AvgSalesRate)</f>
        <v>3</v>
      </c>
      <c r="E108">
        <f t="shared" si="22"/>
        <v>3</v>
      </c>
      <c r="F108">
        <f t="shared" si="16"/>
        <v>10</v>
      </c>
      <c r="G108">
        <f t="shared" si="18"/>
        <v>0</v>
      </c>
      <c r="H108" s="20">
        <f t="shared" si="23"/>
        <v>576494.2010500599</v>
      </c>
      <c r="I108" s="20">
        <f t="shared" si="19"/>
        <v>0</v>
      </c>
      <c r="J108" s="18">
        <f t="shared" si="20"/>
        <v>0</v>
      </c>
      <c r="K108" s="20">
        <f t="shared" si="24"/>
        <v>576494.2010500599</v>
      </c>
      <c r="L108" s="20">
        <f t="shared" si="21"/>
        <v>568494.2010500599</v>
      </c>
      <c r="M108" s="23"/>
    </row>
    <row r="109" spans="2:13" ht="12.75">
      <c r="B109">
        <v>93</v>
      </c>
      <c r="C109">
        <f t="shared" si="17"/>
        <v>10</v>
      </c>
      <c r="D109" s="28">
        <f>_XLL.VOSEPOISSON(AvgSalesRate)</f>
        <v>2</v>
      </c>
      <c r="E109">
        <f t="shared" si="22"/>
        <v>2</v>
      </c>
      <c r="F109">
        <f t="shared" si="16"/>
        <v>8</v>
      </c>
      <c r="G109">
        <f t="shared" si="18"/>
        <v>0</v>
      </c>
      <c r="H109" s="20">
        <f t="shared" si="23"/>
        <v>738494.2010500599</v>
      </c>
      <c r="I109" s="20">
        <f t="shared" si="19"/>
        <v>0</v>
      </c>
      <c r="J109" s="18">
        <f t="shared" si="20"/>
        <v>0</v>
      </c>
      <c r="K109" s="20">
        <f t="shared" si="24"/>
        <v>738494.2010500599</v>
      </c>
      <c r="L109" s="20">
        <f t="shared" si="21"/>
        <v>730494.2010500599</v>
      </c>
      <c r="M109" s="23"/>
    </row>
    <row r="110" spans="2:13" ht="12.75">
      <c r="B110">
        <v>94</v>
      </c>
      <c r="C110">
        <f t="shared" si="17"/>
        <v>8</v>
      </c>
      <c r="D110" s="28">
        <f>_XLL.VOSEPOISSON(AvgSalesRate)</f>
        <v>3</v>
      </c>
      <c r="E110">
        <f t="shared" si="22"/>
        <v>3</v>
      </c>
      <c r="F110">
        <f t="shared" si="16"/>
        <v>5</v>
      </c>
      <c r="G110">
        <f t="shared" si="18"/>
        <v>0</v>
      </c>
      <c r="H110" s="20">
        <f t="shared" si="23"/>
        <v>999494.2010500599</v>
      </c>
      <c r="I110" s="20">
        <f t="shared" si="19"/>
        <v>0</v>
      </c>
      <c r="J110" s="18">
        <f t="shared" si="20"/>
        <v>0</v>
      </c>
      <c r="K110" s="20">
        <f t="shared" si="24"/>
        <v>999494.2010500599</v>
      </c>
      <c r="L110" s="20">
        <f t="shared" si="21"/>
        <v>991494.2010500599</v>
      </c>
      <c r="M110" s="23"/>
    </row>
    <row r="111" spans="2:13" ht="12.75">
      <c r="B111">
        <v>95</v>
      </c>
      <c r="C111">
        <f t="shared" si="17"/>
        <v>5</v>
      </c>
      <c r="D111" s="28">
        <f>_XLL.VOSEPOISSON(AvgSalesRate)</f>
        <v>2</v>
      </c>
      <c r="E111">
        <f t="shared" si="22"/>
        <v>2</v>
      </c>
      <c r="F111">
        <f t="shared" si="16"/>
        <v>3</v>
      </c>
      <c r="G111">
        <f t="shared" si="18"/>
        <v>12</v>
      </c>
      <c r="H111" s="20">
        <f t="shared" si="23"/>
        <v>201494.20105005987</v>
      </c>
      <c r="I111" s="20">
        <f t="shared" si="19"/>
        <v>0</v>
      </c>
      <c r="J111" s="18">
        <f t="shared" si="20"/>
        <v>0</v>
      </c>
      <c r="K111" s="20">
        <f t="shared" si="24"/>
        <v>201494.20105005987</v>
      </c>
      <c r="L111" s="20">
        <f t="shared" si="21"/>
        <v>193494.20105005987</v>
      </c>
      <c r="M111" s="23"/>
    </row>
    <row r="112" spans="2:13" ht="12.75">
      <c r="B112">
        <v>96</v>
      </c>
      <c r="C112">
        <f t="shared" si="17"/>
        <v>3</v>
      </c>
      <c r="D112" s="28">
        <f>_XLL.VOSEPOISSON(AvgSalesRate)</f>
        <v>2</v>
      </c>
      <c r="E112">
        <f t="shared" si="22"/>
        <v>2</v>
      </c>
      <c r="F112">
        <f aca="true" t="shared" si="25" ref="F112:F136">C112-E112</f>
        <v>1</v>
      </c>
      <c r="G112">
        <f t="shared" si="18"/>
        <v>0</v>
      </c>
      <c r="H112" s="20">
        <f t="shared" si="23"/>
        <v>363494.20105005987</v>
      </c>
      <c r="I112" s="20">
        <f t="shared" si="19"/>
        <v>0</v>
      </c>
      <c r="J112" s="18">
        <f t="shared" si="20"/>
        <v>53100</v>
      </c>
      <c r="K112" s="20">
        <f t="shared" si="24"/>
        <v>310394.20105005987</v>
      </c>
      <c r="L112" s="20">
        <f t="shared" si="21"/>
        <v>302394.20105005987</v>
      </c>
      <c r="M112" s="23"/>
    </row>
    <row r="113" spans="2:13" ht="12.75">
      <c r="B113">
        <v>97</v>
      </c>
      <c r="C113">
        <f aca="true" t="shared" si="26" ref="C113:C136">C112-E112+G111</f>
        <v>13</v>
      </c>
      <c r="D113" s="28">
        <f>_XLL.VOSEPOISSON(AvgSalesRate)</f>
        <v>4</v>
      </c>
      <c r="E113">
        <f t="shared" si="22"/>
        <v>4</v>
      </c>
      <c r="F113">
        <f t="shared" si="25"/>
        <v>9</v>
      </c>
      <c r="G113">
        <f aca="true" t="shared" si="27" ref="G113:G136">IF(F113+G112&lt;MinimumStock,MaximumStock-F113-G112,0)</f>
        <v>0</v>
      </c>
      <c r="H113" s="20">
        <f t="shared" si="23"/>
        <v>670394.2010500599</v>
      </c>
      <c r="I113" s="20">
        <f aca="true" t="shared" si="28" ref="I113:I136">IF(H113&lt;0,-H113*CostOfDebt,0)</f>
        <v>0</v>
      </c>
      <c r="J113" s="18">
        <f aca="true" t="shared" si="29" ref="J113:J136">IF(AND(MOD(B113,12)=0,SUM(E102:E113)*(SalePrice-PurchasePrice)-SUM(I102:I113)-12*MonthlyCosts&gt;0),(SUM(E102:E113)*(SalePrice-PurchasePrice)-SUM(I102:I113)-12*MonthlyCosts)*TaxRate,0)</f>
        <v>0</v>
      </c>
      <c r="K113" s="20">
        <f t="shared" si="24"/>
        <v>670394.2010500599</v>
      </c>
      <c r="L113" s="20">
        <f aca="true" t="shared" si="30" ref="L113:L136">K113-IF(K113&gt;dividends,dividends,0)</f>
        <v>662394.2010500599</v>
      </c>
      <c r="M113" s="23"/>
    </row>
    <row r="114" spans="2:13" ht="12.75">
      <c r="B114">
        <v>98</v>
      </c>
      <c r="C114">
        <f t="shared" si="26"/>
        <v>9</v>
      </c>
      <c r="D114" s="28">
        <f>_XLL.VOSEPOISSON(AvgSalesRate)</f>
        <v>3</v>
      </c>
      <c r="E114">
        <f t="shared" si="22"/>
        <v>3</v>
      </c>
      <c r="F114">
        <f t="shared" si="25"/>
        <v>6</v>
      </c>
      <c r="G114">
        <f t="shared" si="27"/>
        <v>0</v>
      </c>
      <c r="H114" s="20">
        <f aca="true" t="shared" si="31" ref="H114:H136">L113+E114*SalePrice-G114*PurchasePrice-MonthlyCosts</f>
        <v>931394.2010500599</v>
      </c>
      <c r="I114" s="20">
        <f t="shared" si="28"/>
        <v>0</v>
      </c>
      <c r="J114" s="18">
        <f t="shared" si="29"/>
        <v>0</v>
      </c>
      <c r="K114" s="20">
        <f t="shared" si="24"/>
        <v>931394.2010500599</v>
      </c>
      <c r="L114" s="20">
        <f t="shared" si="30"/>
        <v>923394.2010500599</v>
      </c>
      <c r="M114" s="23"/>
    </row>
    <row r="115" spans="2:13" ht="12.75">
      <c r="B115">
        <v>99</v>
      </c>
      <c r="C115">
        <f t="shared" si="26"/>
        <v>6</v>
      </c>
      <c r="D115" s="28">
        <f>_XLL.VOSEPOISSON(AvgSalesRate)</f>
        <v>4</v>
      </c>
      <c r="E115">
        <f t="shared" si="22"/>
        <v>4</v>
      </c>
      <c r="F115">
        <f t="shared" si="25"/>
        <v>2</v>
      </c>
      <c r="G115">
        <f t="shared" si="27"/>
        <v>13</v>
      </c>
      <c r="H115" s="20">
        <f t="shared" si="31"/>
        <v>251394.20105005987</v>
      </c>
      <c r="I115" s="20">
        <f t="shared" si="28"/>
        <v>0</v>
      </c>
      <c r="J115" s="18">
        <f t="shared" si="29"/>
        <v>0</v>
      </c>
      <c r="K115" s="20">
        <f t="shared" si="24"/>
        <v>251394.20105005987</v>
      </c>
      <c r="L115" s="20">
        <f t="shared" si="30"/>
        <v>243394.20105005987</v>
      </c>
      <c r="M115" s="23"/>
    </row>
    <row r="116" spans="2:13" ht="12.75">
      <c r="B116">
        <v>100</v>
      </c>
      <c r="C116">
        <f t="shared" si="26"/>
        <v>2</v>
      </c>
      <c r="D116" s="28">
        <f>_XLL.VOSEPOISSON(AvgSalesRate)</f>
        <v>3</v>
      </c>
      <c r="E116">
        <f t="shared" si="22"/>
        <v>2</v>
      </c>
      <c r="F116">
        <f t="shared" si="25"/>
        <v>0</v>
      </c>
      <c r="G116">
        <f t="shared" si="27"/>
        <v>0</v>
      </c>
      <c r="H116" s="20">
        <f t="shared" si="31"/>
        <v>413394.20105005987</v>
      </c>
      <c r="I116" s="20">
        <f t="shared" si="28"/>
        <v>0</v>
      </c>
      <c r="J116" s="18">
        <f t="shared" si="29"/>
        <v>0</v>
      </c>
      <c r="K116" s="20">
        <f t="shared" si="24"/>
        <v>413394.20105005987</v>
      </c>
      <c r="L116" s="20">
        <f t="shared" si="30"/>
        <v>405394.20105005987</v>
      </c>
      <c r="M116" s="23"/>
    </row>
    <row r="117" spans="2:13" ht="12.75">
      <c r="B117">
        <v>101</v>
      </c>
      <c r="C117">
        <f t="shared" si="26"/>
        <v>13</v>
      </c>
      <c r="D117" s="28">
        <f>_XLL.VOSEPOISSON(AvgSalesRate)</f>
        <v>3</v>
      </c>
      <c r="E117">
        <f t="shared" si="22"/>
        <v>3</v>
      </c>
      <c r="F117">
        <f t="shared" si="25"/>
        <v>10</v>
      </c>
      <c r="G117">
        <f t="shared" si="27"/>
        <v>0</v>
      </c>
      <c r="H117" s="20">
        <f t="shared" si="31"/>
        <v>674394.2010500599</v>
      </c>
      <c r="I117" s="20">
        <f t="shared" si="28"/>
        <v>0</v>
      </c>
      <c r="J117" s="18">
        <f t="shared" si="29"/>
        <v>0</v>
      </c>
      <c r="K117" s="20">
        <f t="shared" si="24"/>
        <v>674394.2010500599</v>
      </c>
      <c r="L117" s="20">
        <f t="shared" si="30"/>
        <v>666394.2010500599</v>
      </c>
      <c r="M117" s="23"/>
    </row>
    <row r="118" spans="2:13" ht="12.75">
      <c r="B118">
        <v>102</v>
      </c>
      <c r="C118">
        <f t="shared" si="26"/>
        <v>10</v>
      </c>
      <c r="D118" s="28">
        <f>_XLL.VOSEPOISSON(AvgSalesRate)</f>
        <v>1</v>
      </c>
      <c r="E118">
        <f t="shared" si="22"/>
        <v>1</v>
      </c>
      <c r="F118">
        <f t="shared" si="25"/>
        <v>9</v>
      </c>
      <c r="G118">
        <f t="shared" si="27"/>
        <v>0</v>
      </c>
      <c r="H118" s="20">
        <f t="shared" si="31"/>
        <v>737394.2010500599</v>
      </c>
      <c r="I118" s="20">
        <f t="shared" si="28"/>
        <v>0</v>
      </c>
      <c r="J118" s="18">
        <f t="shared" si="29"/>
        <v>0</v>
      </c>
      <c r="K118" s="20">
        <f t="shared" si="24"/>
        <v>737394.2010500599</v>
      </c>
      <c r="L118" s="20">
        <f t="shared" si="30"/>
        <v>729394.2010500599</v>
      </c>
      <c r="M118" s="23"/>
    </row>
    <row r="119" spans="2:13" ht="12.75">
      <c r="B119">
        <v>103</v>
      </c>
      <c r="C119">
        <f t="shared" si="26"/>
        <v>9</v>
      </c>
      <c r="D119" s="28">
        <f>_XLL.VOSEPOISSON(AvgSalesRate)</f>
        <v>3</v>
      </c>
      <c r="E119">
        <f t="shared" si="22"/>
        <v>3</v>
      </c>
      <c r="F119">
        <f t="shared" si="25"/>
        <v>6</v>
      </c>
      <c r="G119">
        <f t="shared" si="27"/>
        <v>0</v>
      </c>
      <c r="H119" s="20">
        <f t="shared" si="31"/>
        <v>998394.2010500599</v>
      </c>
      <c r="I119" s="20">
        <f t="shared" si="28"/>
        <v>0</v>
      </c>
      <c r="J119" s="18">
        <f t="shared" si="29"/>
        <v>0</v>
      </c>
      <c r="K119" s="20">
        <f t="shared" si="24"/>
        <v>998394.2010500599</v>
      </c>
      <c r="L119" s="20">
        <f t="shared" si="30"/>
        <v>990394.2010500599</v>
      </c>
      <c r="M119" s="23"/>
    </row>
    <row r="120" spans="2:13" ht="12.75">
      <c r="B120">
        <v>104</v>
      </c>
      <c r="C120">
        <f t="shared" si="26"/>
        <v>6</v>
      </c>
      <c r="D120" s="28">
        <f>_XLL.VOSEPOISSON(AvgSalesRate)</f>
        <v>2</v>
      </c>
      <c r="E120">
        <f t="shared" si="22"/>
        <v>2</v>
      </c>
      <c r="F120">
        <f t="shared" si="25"/>
        <v>4</v>
      </c>
      <c r="G120">
        <f t="shared" si="27"/>
        <v>11</v>
      </c>
      <c r="H120" s="20">
        <f t="shared" si="31"/>
        <v>280394.20105005987</v>
      </c>
      <c r="I120" s="20">
        <f t="shared" si="28"/>
        <v>0</v>
      </c>
      <c r="J120" s="18">
        <f t="shared" si="29"/>
        <v>0</v>
      </c>
      <c r="K120" s="20">
        <f t="shared" si="24"/>
        <v>280394.20105005987</v>
      </c>
      <c r="L120" s="20">
        <f t="shared" si="30"/>
        <v>272394.20105005987</v>
      </c>
      <c r="M120" s="23"/>
    </row>
    <row r="121" spans="2:13" ht="12.75">
      <c r="B121">
        <v>105</v>
      </c>
      <c r="C121">
        <f t="shared" si="26"/>
        <v>4</v>
      </c>
      <c r="D121" s="28">
        <f>_XLL.VOSEPOISSON(AvgSalesRate)</f>
        <v>0</v>
      </c>
      <c r="E121">
        <f t="shared" si="22"/>
        <v>0</v>
      </c>
      <c r="F121">
        <f t="shared" si="25"/>
        <v>4</v>
      </c>
      <c r="G121">
        <f t="shared" si="27"/>
        <v>0</v>
      </c>
      <c r="H121" s="20">
        <f t="shared" si="31"/>
        <v>244394.20105005987</v>
      </c>
      <c r="I121" s="20">
        <f t="shared" si="28"/>
        <v>0</v>
      </c>
      <c r="J121" s="18">
        <f t="shared" si="29"/>
        <v>0</v>
      </c>
      <c r="K121" s="20">
        <f t="shared" si="24"/>
        <v>244394.20105005987</v>
      </c>
      <c r="L121" s="20">
        <f t="shared" si="30"/>
        <v>236394.20105005987</v>
      </c>
      <c r="M121" s="23"/>
    </row>
    <row r="122" spans="2:13" ht="12.75">
      <c r="B122">
        <v>106</v>
      </c>
      <c r="C122">
        <f t="shared" si="26"/>
        <v>15</v>
      </c>
      <c r="D122" s="28">
        <f>_XLL.VOSEPOISSON(AvgSalesRate)</f>
        <v>5</v>
      </c>
      <c r="E122">
        <f t="shared" si="22"/>
        <v>5</v>
      </c>
      <c r="F122">
        <f t="shared" si="25"/>
        <v>10</v>
      </c>
      <c r="G122">
        <f t="shared" si="27"/>
        <v>0</v>
      </c>
      <c r="H122" s="20">
        <f t="shared" si="31"/>
        <v>703394.2010500599</v>
      </c>
      <c r="I122" s="20">
        <f t="shared" si="28"/>
        <v>0</v>
      </c>
      <c r="J122" s="18">
        <f t="shared" si="29"/>
        <v>0</v>
      </c>
      <c r="K122" s="20">
        <f t="shared" si="24"/>
        <v>703394.2010500599</v>
      </c>
      <c r="L122" s="20">
        <f t="shared" si="30"/>
        <v>695394.2010500599</v>
      </c>
      <c r="M122" s="23"/>
    </row>
    <row r="123" spans="2:13" ht="12.75">
      <c r="B123">
        <v>107</v>
      </c>
      <c r="C123">
        <f t="shared" si="26"/>
        <v>10</v>
      </c>
      <c r="D123" s="28">
        <f>_XLL.VOSEPOISSON(AvgSalesRate)</f>
        <v>2</v>
      </c>
      <c r="E123">
        <f t="shared" si="22"/>
        <v>2</v>
      </c>
      <c r="F123">
        <f t="shared" si="25"/>
        <v>8</v>
      </c>
      <c r="G123">
        <f t="shared" si="27"/>
        <v>0</v>
      </c>
      <c r="H123" s="20">
        <f t="shared" si="31"/>
        <v>865394.2010500599</v>
      </c>
      <c r="I123" s="20">
        <f t="shared" si="28"/>
        <v>0</v>
      </c>
      <c r="J123" s="18">
        <f t="shared" si="29"/>
        <v>0</v>
      </c>
      <c r="K123" s="20">
        <f t="shared" si="24"/>
        <v>865394.2010500599</v>
      </c>
      <c r="L123" s="20">
        <f t="shared" si="30"/>
        <v>857394.2010500599</v>
      </c>
      <c r="M123" s="23"/>
    </row>
    <row r="124" spans="2:13" ht="12.75">
      <c r="B124">
        <v>108</v>
      </c>
      <c r="C124">
        <f t="shared" si="26"/>
        <v>8</v>
      </c>
      <c r="D124" s="28">
        <f>_XLL.VOSEPOISSON(AvgSalesRate)</f>
        <v>5</v>
      </c>
      <c r="E124">
        <f t="shared" si="22"/>
        <v>5</v>
      </c>
      <c r="F124">
        <f t="shared" si="25"/>
        <v>3</v>
      </c>
      <c r="G124">
        <f t="shared" si="27"/>
        <v>12</v>
      </c>
      <c r="H124" s="20">
        <f t="shared" si="31"/>
        <v>364394.20105005987</v>
      </c>
      <c r="I124" s="20">
        <f t="shared" si="28"/>
        <v>0</v>
      </c>
      <c r="J124" s="18">
        <f t="shared" si="29"/>
        <v>93000</v>
      </c>
      <c r="K124" s="20">
        <f t="shared" si="24"/>
        <v>271394.20105005987</v>
      </c>
      <c r="L124" s="20">
        <f t="shared" si="30"/>
        <v>263394.20105005987</v>
      </c>
      <c r="M124" s="23"/>
    </row>
    <row r="125" spans="2:13" ht="12.75">
      <c r="B125">
        <v>109</v>
      </c>
      <c r="C125">
        <f t="shared" si="26"/>
        <v>3</v>
      </c>
      <c r="D125" s="28">
        <f>_XLL.VOSEPOISSON(AvgSalesRate)</f>
        <v>2</v>
      </c>
      <c r="E125">
        <f t="shared" si="22"/>
        <v>2</v>
      </c>
      <c r="F125">
        <f t="shared" si="25"/>
        <v>1</v>
      </c>
      <c r="G125">
        <f t="shared" si="27"/>
        <v>0</v>
      </c>
      <c r="H125" s="20">
        <f t="shared" si="31"/>
        <v>433394.20105005987</v>
      </c>
      <c r="I125" s="20">
        <f t="shared" si="28"/>
        <v>0</v>
      </c>
      <c r="J125" s="18">
        <f t="shared" si="29"/>
        <v>0</v>
      </c>
      <c r="K125" s="20">
        <f t="shared" si="24"/>
        <v>433394.20105005987</v>
      </c>
      <c r="L125" s="20">
        <f t="shared" si="30"/>
        <v>425394.20105005987</v>
      </c>
      <c r="M125" s="23"/>
    </row>
    <row r="126" spans="2:13" ht="12.75">
      <c r="B126">
        <v>110</v>
      </c>
      <c r="C126">
        <f t="shared" si="26"/>
        <v>13</v>
      </c>
      <c r="D126" s="28">
        <f>_XLL.VOSEPOISSON(AvgSalesRate)</f>
        <v>2</v>
      </c>
      <c r="E126">
        <f t="shared" si="22"/>
        <v>2</v>
      </c>
      <c r="F126">
        <f t="shared" si="25"/>
        <v>11</v>
      </c>
      <c r="G126">
        <f t="shared" si="27"/>
        <v>0</v>
      </c>
      <c r="H126" s="20">
        <f t="shared" si="31"/>
        <v>595394.2010500599</v>
      </c>
      <c r="I126" s="20">
        <f t="shared" si="28"/>
        <v>0</v>
      </c>
      <c r="J126" s="18">
        <f t="shared" si="29"/>
        <v>0</v>
      </c>
      <c r="K126" s="20">
        <f t="shared" si="24"/>
        <v>595394.2010500599</v>
      </c>
      <c r="L126" s="20">
        <f t="shared" si="30"/>
        <v>587394.2010500599</v>
      </c>
      <c r="M126" s="23"/>
    </row>
    <row r="127" spans="2:13" ht="12.75">
      <c r="B127">
        <v>111</v>
      </c>
      <c r="C127">
        <f t="shared" si="26"/>
        <v>11</v>
      </c>
      <c r="D127" s="28">
        <f>_XLL.VOSEPOISSON(AvgSalesRate)</f>
        <v>2</v>
      </c>
      <c r="E127">
        <f t="shared" si="22"/>
        <v>2</v>
      </c>
      <c r="F127">
        <f t="shared" si="25"/>
        <v>9</v>
      </c>
      <c r="G127">
        <f t="shared" si="27"/>
        <v>0</v>
      </c>
      <c r="H127" s="20">
        <f t="shared" si="31"/>
        <v>757394.2010500599</v>
      </c>
      <c r="I127" s="20">
        <f t="shared" si="28"/>
        <v>0</v>
      </c>
      <c r="J127" s="18">
        <f t="shared" si="29"/>
        <v>0</v>
      </c>
      <c r="K127" s="20">
        <f t="shared" si="24"/>
        <v>757394.2010500599</v>
      </c>
      <c r="L127" s="20">
        <f t="shared" si="30"/>
        <v>749394.2010500599</v>
      </c>
      <c r="M127" s="23"/>
    </row>
    <row r="128" spans="2:13" ht="12.75">
      <c r="B128">
        <v>112</v>
      </c>
      <c r="C128">
        <f t="shared" si="26"/>
        <v>9</v>
      </c>
      <c r="D128" s="28">
        <f>_XLL.VOSEPOISSON(AvgSalesRate)</f>
        <v>2</v>
      </c>
      <c r="E128">
        <f t="shared" si="22"/>
        <v>2</v>
      </c>
      <c r="F128">
        <f t="shared" si="25"/>
        <v>7</v>
      </c>
      <c r="G128">
        <f t="shared" si="27"/>
        <v>0</v>
      </c>
      <c r="H128" s="20">
        <f t="shared" si="31"/>
        <v>919394.2010500599</v>
      </c>
      <c r="I128" s="20">
        <f t="shared" si="28"/>
        <v>0</v>
      </c>
      <c r="J128" s="18">
        <f t="shared" si="29"/>
        <v>0</v>
      </c>
      <c r="K128" s="20">
        <f t="shared" si="24"/>
        <v>919394.2010500599</v>
      </c>
      <c r="L128" s="20">
        <f t="shared" si="30"/>
        <v>911394.2010500599</v>
      </c>
      <c r="M128" s="23"/>
    </row>
    <row r="129" spans="2:13" ht="12.75">
      <c r="B129">
        <v>113</v>
      </c>
      <c r="C129">
        <f t="shared" si="26"/>
        <v>7</v>
      </c>
      <c r="D129" s="28">
        <f>_XLL.VOSEPOISSON(AvgSalesRate)</f>
        <v>2</v>
      </c>
      <c r="E129">
        <f t="shared" si="22"/>
        <v>2</v>
      </c>
      <c r="F129">
        <f t="shared" si="25"/>
        <v>5</v>
      </c>
      <c r="G129">
        <f t="shared" si="27"/>
        <v>0</v>
      </c>
      <c r="H129" s="20">
        <f t="shared" si="31"/>
        <v>1081394.2010500599</v>
      </c>
      <c r="I129" s="20">
        <f t="shared" si="28"/>
        <v>0</v>
      </c>
      <c r="J129" s="18">
        <f t="shared" si="29"/>
        <v>0</v>
      </c>
      <c r="K129" s="20">
        <f t="shared" si="24"/>
        <v>1081394.2010500599</v>
      </c>
      <c r="L129" s="20">
        <f t="shared" si="30"/>
        <v>1073394.2010500599</v>
      </c>
      <c r="M129" s="23"/>
    </row>
    <row r="130" spans="2:13" ht="12.75">
      <c r="B130">
        <v>114</v>
      </c>
      <c r="C130">
        <f t="shared" si="26"/>
        <v>5</v>
      </c>
      <c r="D130" s="28">
        <f>_XLL.VOSEPOISSON(AvgSalesRate)</f>
        <v>4</v>
      </c>
      <c r="E130">
        <f t="shared" si="22"/>
        <v>4</v>
      </c>
      <c r="F130">
        <f t="shared" si="25"/>
        <v>1</v>
      </c>
      <c r="G130">
        <f t="shared" si="27"/>
        <v>14</v>
      </c>
      <c r="H130" s="20">
        <f t="shared" si="31"/>
        <v>321394.20105005987</v>
      </c>
      <c r="I130" s="20">
        <f t="shared" si="28"/>
        <v>0</v>
      </c>
      <c r="J130" s="18">
        <f t="shared" si="29"/>
        <v>0</v>
      </c>
      <c r="K130" s="20">
        <f t="shared" si="24"/>
        <v>321394.20105005987</v>
      </c>
      <c r="L130" s="20">
        <f t="shared" si="30"/>
        <v>313394.20105005987</v>
      </c>
      <c r="M130" s="23"/>
    </row>
    <row r="131" spans="2:13" ht="12.75">
      <c r="B131">
        <v>115</v>
      </c>
      <c r="C131">
        <f t="shared" si="26"/>
        <v>1</v>
      </c>
      <c r="D131" s="28">
        <f>_XLL.VOSEPOISSON(AvgSalesRate)</f>
        <v>6</v>
      </c>
      <c r="E131">
        <f t="shared" si="22"/>
        <v>1</v>
      </c>
      <c r="F131">
        <f t="shared" si="25"/>
        <v>0</v>
      </c>
      <c r="G131">
        <f t="shared" si="27"/>
        <v>0</v>
      </c>
      <c r="H131" s="20">
        <f t="shared" si="31"/>
        <v>384394.20105005987</v>
      </c>
      <c r="I131" s="20">
        <f t="shared" si="28"/>
        <v>0</v>
      </c>
      <c r="J131" s="18">
        <f t="shared" si="29"/>
        <v>0</v>
      </c>
      <c r="K131" s="20">
        <f t="shared" si="24"/>
        <v>384394.20105005987</v>
      </c>
      <c r="L131" s="20">
        <f t="shared" si="30"/>
        <v>376394.20105005987</v>
      </c>
      <c r="M131" s="23"/>
    </row>
    <row r="132" spans="2:13" ht="12.75">
      <c r="B132">
        <v>116</v>
      </c>
      <c r="C132">
        <f t="shared" si="26"/>
        <v>14</v>
      </c>
      <c r="D132" s="28">
        <f>_XLL.VOSEPOISSON(AvgSalesRate)</f>
        <v>3</v>
      </c>
      <c r="E132">
        <f t="shared" si="22"/>
        <v>3</v>
      </c>
      <c r="F132">
        <f t="shared" si="25"/>
        <v>11</v>
      </c>
      <c r="G132">
        <f t="shared" si="27"/>
        <v>0</v>
      </c>
      <c r="H132" s="20">
        <f t="shared" si="31"/>
        <v>645394.2010500599</v>
      </c>
      <c r="I132" s="20">
        <f t="shared" si="28"/>
        <v>0</v>
      </c>
      <c r="J132" s="18">
        <f t="shared" si="29"/>
        <v>0</v>
      </c>
      <c r="K132" s="20">
        <f t="shared" si="24"/>
        <v>645394.2010500599</v>
      </c>
      <c r="L132" s="20">
        <f t="shared" si="30"/>
        <v>637394.2010500599</v>
      </c>
      <c r="M132" s="23"/>
    </row>
    <row r="133" spans="2:13" ht="12.75">
      <c r="B133">
        <v>117</v>
      </c>
      <c r="C133">
        <f t="shared" si="26"/>
        <v>11</v>
      </c>
      <c r="D133" s="28">
        <f>_XLL.VOSEPOISSON(AvgSalesRate)</f>
        <v>0</v>
      </c>
      <c r="E133">
        <f t="shared" si="22"/>
        <v>0</v>
      </c>
      <c r="F133">
        <f t="shared" si="25"/>
        <v>11</v>
      </c>
      <c r="G133">
        <f t="shared" si="27"/>
        <v>0</v>
      </c>
      <c r="H133" s="20">
        <f t="shared" si="31"/>
        <v>609394.2010500599</v>
      </c>
      <c r="I133" s="20">
        <f t="shared" si="28"/>
        <v>0</v>
      </c>
      <c r="J133" s="18">
        <f t="shared" si="29"/>
        <v>0</v>
      </c>
      <c r="K133" s="20">
        <f t="shared" si="24"/>
        <v>609394.2010500599</v>
      </c>
      <c r="L133" s="20">
        <f t="shared" si="30"/>
        <v>601394.2010500599</v>
      </c>
      <c r="M133" s="23"/>
    </row>
    <row r="134" spans="2:13" ht="12.75">
      <c r="B134">
        <v>118</v>
      </c>
      <c r="C134">
        <f t="shared" si="26"/>
        <v>11</v>
      </c>
      <c r="D134" s="28">
        <f>_XLL.VOSEPOISSON(AvgSalesRate)</f>
        <v>1</v>
      </c>
      <c r="E134">
        <f t="shared" si="22"/>
        <v>1</v>
      </c>
      <c r="F134">
        <f t="shared" si="25"/>
        <v>10</v>
      </c>
      <c r="G134">
        <f t="shared" si="27"/>
        <v>0</v>
      </c>
      <c r="H134" s="20">
        <f t="shared" si="31"/>
        <v>672394.2010500599</v>
      </c>
      <c r="I134" s="20">
        <f t="shared" si="28"/>
        <v>0</v>
      </c>
      <c r="J134" s="18">
        <f t="shared" si="29"/>
        <v>0</v>
      </c>
      <c r="K134" s="20">
        <f t="shared" si="24"/>
        <v>672394.2010500599</v>
      </c>
      <c r="L134" s="20">
        <f t="shared" si="30"/>
        <v>664394.2010500599</v>
      </c>
      <c r="M134" s="23"/>
    </row>
    <row r="135" spans="2:13" ht="12.75">
      <c r="B135">
        <v>119</v>
      </c>
      <c r="C135">
        <f t="shared" si="26"/>
        <v>10</v>
      </c>
      <c r="D135" s="28">
        <f>_XLL.VOSEPOISSON(AvgSalesRate)</f>
        <v>3</v>
      </c>
      <c r="E135">
        <f t="shared" si="22"/>
        <v>3</v>
      </c>
      <c r="F135">
        <f t="shared" si="25"/>
        <v>7</v>
      </c>
      <c r="G135">
        <f t="shared" si="27"/>
        <v>0</v>
      </c>
      <c r="H135" s="20">
        <f t="shared" si="31"/>
        <v>933394.2010500599</v>
      </c>
      <c r="I135" s="20">
        <f t="shared" si="28"/>
        <v>0</v>
      </c>
      <c r="J135" s="18">
        <f t="shared" si="29"/>
        <v>0</v>
      </c>
      <c r="K135" s="20">
        <f t="shared" si="24"/>
        <v>933394.2010500599</v>
      </c>
      <c r="L135" s="20">
        <f t="shared" si="30"/>
        <v>925394.2010500599</v>
      </c>
      <c r="M135" s="23"/>
    </row>
    <row r="136" spans="2:13" ht="12.75">
      <c r="B136">
        <v>120</v>
      </c>
      <c r="C136">
        <f t="shared" si="26"/>
        <v>7</v>
      </c>
      <c r="D136" s="28">
        <f>_XLL.VOSEPOISSON(AvgSalesRate)</f>
        <v>4</v>
      </c>
      <c r="E136">
        <f t="shared" si="22"/>
        <v>4</v>
      </c>
      <c r="F136">
        <f t="shared" si="25"/>
        <v>3</v>
      </c>
      <c r="G136">
        <f t="shared" si="27"/>
        <v>12</v>
      </c>
      <c r="H136" s="20">
        <f t="shared" si="31"/>
        <v>333394.20105005987</v>
      </c>
      <c r="I136" s="20">
        <f t="shared" si="28"/>
        <v>0</v>
      </c>
      <c r="J136" s="18">
        <f t="shared" si="29"/>
        <v>47400</v>
      </c>
      <c r="K136" s="20">
        <f t="shared" si="24"/>
        <v>285994.20105005987</v>
      </c>
      <c r="L136" s="20">
        <f t="shared" si="30"/>
        <v>277994.20105005987</v>
      </c>
      <c r="M136" s="23"/>
    </row>
  </sheetData>
  <sheetProtection/>
  <mergeCells count="1">
    <mergeCell ref="N15:P15"/>
  </mergeCells>
  <printOptions/>
  <pageMargins left="0.75" right="0.75" top="1" bottom="1" header="0.5" footer="0.5"/>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Vose Software</dc:creator>
  <cp:keywords/>
  <dc:description/>
  <cp:lastModifiedBy>Timour</cp:lastModifiedBy>
  <dcterms:created xsi:type="dcterms:W3CDTF">2005-05-30T08:43:13Z</dcterms:created>
  <dcterms:modified xsi:type="dcterms:W3CDTF">2009-11-14T09:59:42Z</dcterms:modified>
  <cp:category/>
  <cp:version/>
  <cp:contentType/>
  <cp:contentStatus/>
</cp:coreProperties>
</file>