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4220" windowHeight="7305" firstSheet="1" activeTab="1"/>
  </bookViews>
  <sheets>
    <sheet name="CB_DATA_" sheetId="1" state="hidden" r:id="rId1"/>
    <sheet name="Model" sheetId="2" r:id="rId2"/>
  </sheets>
  <definedNames>
    <definedName name="B">'Model'!$D$9</definedName>
    <definedName name="Bottle">'Model'!$B$14:$B$513</definedName>
    <definedName name="CB_3d00daec901646d39d9f59de3a8c5349" localSheetId="1" hidden="1">'Model'!$F$17</definedName>
    <definedName name="CBWorkbookPriority" hidden="1">-421079538</definedName>
    <definedName name="CBx_6df1524db95848a48fd7e77bd6d94041" localSheetId="0" hidden="1">"'Model'!$A$1"</definedName>
    <definedName name="CBx_c5422b71204344a59becb5c1012a7b68" localSheetId="0" hidden="1">"'CB_DATA_'!$A$1"</definedName>
    <definedName name="CBx_Sheet_Guid" localSheetId="0" hidden="1">"'c5422b71204344a59becb5c1012a7b68"</definedName>
    <definedName name="CBx_Sheet_Guid" localSheetId="1" hidden="1">"'6df1524db95848a48fd7e77bd6d94041"</definedName>
    <definedName name="n">'Model'!$D$8</definedName>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3000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 name="V">'Model'!$D$7</definedName>
  </definedNames>
  <calcPr fullCalcOnLoad="1"/>
</workbook>
</file>

<file path=xl/comments2.xml><?xml version="1.0" encoding="utf-8"?>
<comments xmlns="http://schemas.openxmlformats.org/spreadsheetml/2006/main">
  <authors>
    <author>David Vose</author>
  </authors>
  <commentList>
    <comment ref="D8" authorId="0">
      <text>
        <r>
          <rPr>
            <b/>
            <sz val="8"/>
            <rFont val="Tahoma"/>
            <family val="2"/>
          </rPr>
          <t>Vose Consulting:</t>
        </r>
        <r>
          <rPr>
            <sz val="8"/>
            <rFont val="Tahoma"/>
            <family val="2"/>
          </rPr>
          <t xml:space="preserve">
In food safety risk assessment, this won't be known but will have often been estimated separately using predictive microbiology models</t>
        </r>
      </text>
    </comment>
  </commentList>
</comments>
</file>

<file path=xl/sharedStrings.xml><?xml version="1.0" encoding="utf-8"?>
<sst xmlns="http://schemas.openxmlformats.org/spreadsheetml/2006/main" count="13" uniqueCount="13">
  <si>
    <t>Number of bacteria</t>
  </si>
  <si>
    <t>Bottle</t>
  </si>
  <si>
    <t>Number of bottles in vat</t>
  </si>
  <si>
    <t>Bacteria in bottle</t>
  </si>
  <si>
    <t>Total</t>
  </si>
  <si>
    <t>Distributing bacteria in a vat among bottles</t>
  </si>
  <si>
    <t>Volume of vat (litres)</t>
  </si>
  <si>
    <t>Volume of wine bottle (litres)</t>
  </si>
  <si>
    <r>
      <t>Problem:</t>
    </r>
    <r>
      <rPr>
        <sz val="10"/>
        <rFont val="Times New Roman"/>
        <family val="1"/>
      </rPr>
      <t xml:space="preserve"> You are bottling 375 liters of wine into 500 bottles. There are in total 216 bacteria in the vat of wine. The task is to model the amount of bacteria in each bottle.</t>
    </r>
  </si>
  <si>
    <t>Binomial distribution</t>
  </si>
  <si>
    <t>n</t>
  </si>
  <si>
    <t>p</t>
  </si>
  <si>
    <t>Binomial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</si>
</sst>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8">
    <font>
      <sz val="10"/>
      <name val="Arial"/>
      <family val="0"/>
    </font>
    <font>
      <sz val="8"/>
      <name val="Arial"/>
      <family val="2"/>
    </font>
    <font>
      <sz val="8"/>
      <name val="Tahoma"/>
      <family val="2"/>
    </font>
    <font>
      <b/>
      <sz val="8"/>
      <name val="Tahoma"/>
      <family val="2"/>
    </font>
    <font>
      <sz val="10"/>
      <color indexed="12"/>
      <name val="Arial"/>
      <family val="2"/>
    </font>
    <font>
      <b/>
      <sz val="10"/>
      <name val="Arial"/>
      <family val="2"/>
    </font>
    <font>
      <sz val="10"/>
      <color indexed="10"/>
      <name val="Arial"/>
      <family val="2"/>
    </font>
    <font>
      <sz val="16"/>
      <name val="Arial"/>
      <family val="2"/>
    </font>
    <font>
      <sz val="12"/>
      <name val="Times New Roman"/>
      <family val="1"/>
    </font>
    <font>
      <b/>
      <sz val="10"/>
      <name val="Times New Roman"/>
      <family val="1"/>
    </font>
    <font>
      <sz val="10"/>
      <name val="Times New Roman"/>
      <family val="1"/>
    </font>
    <font>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thin"/>
      <right style="medium"/>
      <top style="medium"/>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thin"/>
      <right style="medium"/>
      <top style="thin"/>
      <bottom style="thin"/>
    </border>
    <border>
      <left style="thin"/>
      <right style="medium"/>
      <top style="thin"/>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8" fillId="0" borderId="0" xfId="0" applyFont="1" applyAlignment="1">
      <alignment/>
    </xf>
    <xf numFmtId="0" fontId="7" fillId="0" borderId="0" xfId="0" applyFont="1" applyAlignment="1" applyProtection="1">
      <alignment/>
      <protection locked="0"/>
    </xf>
    <xf numFmtId="0" fontId="5" fillId="33" borderId="10" xfId="0" applyFont="1" applyFill="1" applyBorder="1" applyAlignment="1">
      <alignment horizontal="center"/>
    </xf>
    <xf numFmtId="0" fontId="5" fillId="33" borderId="11" xfId="0" applyFont="1" applyFill="1" applyBorder="1" applyAlignment="1">
      <alignment horizontal="center"/>
    </xf>
    <xf numFmtId="0" fontId="0" fillId="0" borderId="12" xfId="0" applyBorder="1" applyAlignment="1">
      <alignment horizontal="center"/>
    </xf>
    <xf numFmtId="0" fontId="6" fillId="0" borderId="13" xfId="0" applyFont="1" applyBorder="1" applyAlignment="1">
      <alignment horizontal="center"/>
    </xf>
    <xf numFmtId="0" fontId="0" fillId="0" borderId="14" xfId="0" applyBorder="1" applyAlignment="1">
      <alignment horizontal="center"/>
    </xf>
    <xf numFmtId="0" fontId="6" fillId="0" borderId="15" xfId="0" applyFont="1" applyBorder="1" applyAlignment="1">
      <alignment horizontal="center"/>
    </xf>
    <xf numFmtId="0" fontId="0" fillId="0" borderId="16" xfId="0" applyBorder="1" applyAlignment="1">
      <alignment horizontal="center"/>
    </xf>
    <xf numFmtId="0" fontId="6" fillId="0" borderId="17" xfId="0" applyFont="1" applyBorder="1" applyAlignment="1">
      <alignment horizontal="center"/>
    </xf>
    <xf numFmtId="0" fontId="5" fillId="0" borderId="18" xfId="0" applyFont="1" applyBorder="1" applyAlignment="1">
      <alignment horizontal="center"/>
    </xf>
    <xf numFmtId="0" fontId="4" fillId="0" borderId="11" xfId="0" applyFont="1" applyBorder="1" applyAlignment="1">
      <alignment horizontal="center"/>
    </xf>
    <xf numFmtId="0" fontId="4" fillId="0" borderId="19" xfId="0" applyFont="1" applyBorder="1" applyAlignment="1">
      <alignment horizontal="center"/>
    </xf>
    <xf numFmtId="0" fontId="0" fillId="0" borderId="20" xfId="0" applyBorder="1" applyAlignment="1">
      <alignment horizontal="center"/>
    </xf>
    <xf numFmtId="0" fontId="5" fillId="0" borderId="21" xfId="0" applyFont="1" applyBorder="1" applyAlignment="1">
      <alignment horizontal="center"/>
    </xf>
    <xf numFmtId="0" fontId="11" fillId="0" borderId="16" xfId="0" applyFont="1" applyFill="1" applyBorder="1" applyAlignment="1">
      <alignment horizontal="center"/>
    </xf>
    <xf numFmtId="0" fontId="11" fillId="0" borderId="22" xfId="0" applyFont="1" applyFill="1" applyBorder="1" applyAlignment="1">
      <alignment horizontal="center"/>
    </xf>
    <xf numFmtId="0" fontId="11" fillId="0" borderId="23" xfId="0" applyFont="1" applyFill="1" applyBorder="1" applyAlignment="1">
      <alignment horizontal="center"/>
    </xf>
    <xf numFmtId="0" fontId="11" fillId="0" borderId="14"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22" xfId="0" applyFont="1" applyBorder="1" applyAlignment="1">
      <alignment horizontal="center"/>
    </xf>
    <xf numFmtId="0" fontId="6" fillId="0" borderId="15" xfId="0" applyFont="1" applyFill="1" applyBorder="1" applyAlignment="1">
      <alignment horizontal="center"/>
    </xf>
    <xf numFmtId="0" fontId="11" fillId="0" borderId="26" xfId="0" applyFont="1" applyFill="1" applyBorder="1" applyAlignment="1">
      <alignment horizontal="center"/>
    </xf>
    <xf numFmtId="0" fontId="11" fillId="0" borderId="27" xfId="0" applyFont="1" applyFill="1" applyBorder="1" applyAlignment="1">
      <alignment horizontal="center"/>
    </xf>
    <xf numFmtId="0" fontId="6" fillId="34" borderId="15" xfId="0" applyFont="1" applyFill="1" applyBorder="1" applyAlignment="1">
      <alignment horizontal="center"/>
    </xf>
    <xf numFmtId="0" fontId="11" fillId="0" borderId="18"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0" fillId="0" borderId="30" xfId="0" applyBorder="1" applyAlignment="1">
      <alignment horizontal="left"/>
    </xf>
    <xf numFmtId="0" fontId="0" fillId="0" borderId="31" xfId="0" applyBorder="1" applyAlignment="1">
      <alignment horizontal="left"/>
    </xf>
    <xf numFmtId="0" fontId="9" fillId="35" borderId="24" xfId="0" applyFont="1" applyFill="1" applyBorder="1" applyAlignment="1">
      <alignment horizontal="left" wrapText="1"/>
    </xf>
    <xf numFmtId="0" fontId="9" fillId="35" borderId="25" xfId="0" applyFont="1" applyFill="1" applyBorder="1" applyAlignment="1">
      <alignment horizontal="left" wrapText="1"/>
    </xf>
    <xf numFmtId="0" fontId="9" fillId="35" borderId="26" xfId="0" applyFont="1" applyFill="1" applyBorder="1" applyAlignment="1">
      <alignment horizontal="left" wrapText="1"/>
    </xf>
    <xf numFmtId="0" fontId="9" fillId="35" borderId="16" xfId="0" applyFont="1" applyFill="1" applyBorder="1" applyAlignment="1">
      <alignment horizontal="left" wrapText="1"/>
    </xf>
    <xf numFmtId="0" fontId="9" fillId="35" borderId="22" xfId="0" applyFont="1" applyFill="1" applyBorder="1" applyAlignment="1">
      <alignment horizontal="left" wrapText="1"/>
    </xf>
    <xf numFmtId="0" fontId="9" fillId="35" borderId="23" xfId="0" applyFont="1" applyFill="1" applyBorder="1" applyAlignment="1">
      <alignment horizontal="left" wrapText="1"/>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11</xdr:row>
      <xdr:rowOff>123825</xdr:rowOff>
    </xdr:from>
    <xdr:to>
      <xdr:col>7</xdr:col>
      <xdr:colOff>542925</xdr:colOff>
      <xdr:row>514</xdr:row>
      <xdr:rowOff>0</xdr:rowOff>
    </xdr:to>
    <xdr:sp>
      <xdr:nvSpPr>
        <xdr:cNvPr id="1" name="Line 2"/>
        <xdr:cNvSpPr>
          <a:spLocks/>
        </xdr:cNvSpPr>
      </xdr:nvSpPr>
      <xdr:spPr>
        <a:xfrm flipH="1">
          <a:off x="4686300" y="2428875"/>
          <a:ext cx="1209675" cy="2009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85725</xdr:rowOff>
    </xdr:from>
    <xdr:to>
      <xdr:col>7</xdr:col>
      <xdr:colOff>238125</xdr:colOff>
      <xdr:row>9</xdr:row>
      <xdr:rowOff>47625</xdr:rowOff>
    </xdr:to>
    <xdr:sp>
      <xdr:nvSpPr>
        <xdr:cNvPr id="2" name="Line 3"/>
        <xdr:cNvSpPr>
          <a:spLocks/>
        </xdr:cNvSpPr>
      </xdr:nvSpPr>
      <xdr:spPr>
        <a:xfrm flipH="1" flipV="1">
          <a:off x="2752725" y="1724025"/>
          <a:ext cx="28384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xdr:row>
      <xdr:rowOff>28575</xdr:rowOff>
    </xdr:from>
    <xdr:to>
      <xdr:col>9</xdr:col>
      <xdr:colOff>304800</xdr:colOff>
      <xdr:row>11</xdr:row>
      <xdr:rowOff>104775</xdr:rowOff>
    </xdr:to>
    <xdr:sp>
      <xdr:nvSpPr>
        <xdr:cNvPr id="3" name="Text Box 4"/>
        <xdr:cNvSpPr txBox="1">
          <a:spLocks noChangeArrowheads="1"/>
        </xdr:cNvSpPr>
      </xdr:nvSpPr>
      <xdr:spPr>
        <a:xfrm>
          <a:off x="5610225" y="1828800"/>
          <a:ext cx="1266825" cy="581025"/>
        </a:xfrm>
        <a:prstGeom prst="rect">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checks that all bacteria are accounted for</a:t>
          </a:r>
        </a:p>
      </xdr:txBody>
    </xdr:sp>
    <xdr:clientData/>
  </xdr:twoCellAnchor>
  <xdr:twoCellAnchor editAs="oneCell">
    <xdr:from>
      <xdr:col>0</xdr:col>
      <xdr:colOff>0</xdr:colOff>
      <xdr:row>0</xdr:row>
      <xdr:rowOff>0</xdr:rowOff>
    </xdr:from>
    <xdr:to>
      <xdr:col>3</xdr:col>
      <xdr:colOff>361950</xdr:colOff>
      <xdr:row>2</xdr:row>
      <xdr:rowOff>47625</xdr:rowOff>
    </xdr:to>
    <xdr:pic>
      <xdr:nvPicPr>
        <xdr:cNvPr id="4" name="Picture 2" descr="vose software logo.bmp"/>
        <xdr:cNvPicPr preferRelativeResize="1">
          <a:picLocks noChangeAspect="1"/>
        </xdr:cNvPicPr>
      </xdr:nvPicPr>
      <xdr:blipFill>
        <a:blip r:embed="rId1"/>
        <a:stretch>
          <a:fillRect/>
        </a:stretch>
      </xdr:blipFill>
      <xdr:spPr>
        <a:xfrm>
          <a:off x="0" y="0"/>
          <a:ext cx="2428875" cy="8096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2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00000000000000000000000000000003"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CB_Block_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2:L515"/>
  <sheetViews>
    <sheetView tabSelected="1" zoomScalePageLayoutView="0" workbookViewId="0" topLeftCell="A1">
      <selection activeCell="F513" sqref="F513"/>
    </sheetView>
  </sheetViews>
  <sheetFormatPr defaultColWidth="9.140625" defaultRowHeight="12.75"/>
  <cols>
    <col min="1" max="1" width="3.28125" style="0" customWidth="1"/>
    <col min="2" max="2" width="10.00390625" style="0" customWidth="1"/>
    <col min="3" max="3" width="17.7109375" style="0" customWidth="1"/>
    <col min="4" max="4" width="10.140625" style="0" customWidth="1"/>
    <col min="5" max="5" width="11.140625" style="0" customWidth="1"/>
    <col min="6" max="6" width="18.8515625" style="0" customWidth="1"/>
  </cols>
  <sheetData>
    <row r="1" s="1" customFormat="1" ht="12.75"/>
    <row r="2" spans="5:6" s="1" customFormat="1" ht="47.25" customHeight="1">
      <c r="E2" s="4" t="s">
        <v>5</v>
      </c>
      <c r="F2" s="2"/>
    </row>
    <row r="3" spans="5:12" s="1" customFormat="1" ht="17.25" customHeight="1" thickBot="1">
      <c r="E3" s="3"/>
      <c r="J3"/>
      <c r="K3"/>
      <c r="L3"/>
    </row>
    <row r="4" spans="2:12" s="1" customFormat="1" ht="12.75" customHeight="1">
      <c r="B4" s="36" t="s">
        <v>8</v>
      </c>
      <c r="C4" s="37"/>
      <c r="D4" s="37"/>
      <c r="E4" s="37"/>
      <c r="F4" s="37"/>
      <c r="G4" s="37"/>
      <c r="H4" s="37"/>
      <c r="I4" s="38"/>
      <c r="J4"/>
      <c r="K4"/>
      <c r="L4"/>
    </row>
    <row r="5" spans="2:12" s="1" customFormat="1" ht="12.75" customHeight="1" thickBot="1">
      <c r="B5" s="39"/>
      <c r="C5" s="40"/>
      <c r="D5" s="40"/>
      <c r="E5" s="40"/>
      <c r="F5" s="40"/>
      <c r="G5" s="40"/>
      <c r="H5" s="40"/>
      <c r="I5" s="41"/>
      <c r="J5"/>
      <c r="K5"/>
      <c r="L5"/>
    </row>
    <row r="6" ht="13.5" thickBot="1"/>
    <row r="7" spans="2:4" ht="12.75">
      <c r="B7" s="42" t="s">
        <v>6</v>
      </c>
      <c r="C7" s="43"/>
      <c r="D7" s="14">
        <v>375</v>
      </c>
    </row>
    <row r="8" spans="2:4" ht="12.75">
      <c r="B8" s="44" t="s">
        <v>0</v>
      </c>
      <c r="C8" s="45"/>
      <c r="D8" s="15">
        <v>216</v>
      </c>
    </row>
    <row r="9" spans="2:4" ht="12.75">
      <c r="B9" s="44" t="s">
        <v>7</v>
      </c>
      <c r="C9" s="45"/>
      <c r="D9" s="15">
        <v>0.75</v>
      </c>
    </row>
    <row r="10" spans="2:4" ht="13.5" thickBot="1">
      <c r="B10" s="34" t="s">
        <v>2</v>
      </c>
      <c r="C10" s="35"/>
      <c r="D10" s="16">
        <v>500</v>
      </c>
    </row>
    <row r="11" ht="13.5" thickBot="1"/>
    <row r="12" spans="3:5" ht="13.5" thickBot="1">
      <c r="C12" s="31" t="s">
        <v>9</v>
      </c>
      <c r="D12" s="32"/>
      <c r="E12" s="33"/>
    </row>
    <row r="13" spans="2:6" ht="13.5" thickBot="1">
      <c r="B13" s="5" t="s">
        <v>1</v>
      </c>
      <c r="C13" s="18" t="s">
        <v>10</v>
      </c>
      <c r="D13" s="19" t="s">
        <v>11</v>
      </c>
      <c r="E13" s="20" t="s">
        <v>12</v>
      </c>
      <c r="F13" s="6" t="s">
        <v>3</v>
      </c>
    </row>
    <row r="14" spans="2:6" ht="12.75">
      <c r="B14" s="7">
        <v>1</v>
      </c>
      <c r="C14" s="22">
        <f>n</f>
        <v>216</v>
      </c>
      <c r="D14" s="23">
        <f>B/V</f>
        <v>0.002</v>
      </c>
      <c r="E14" s="28">
        <f>_XLL.VOSEBINOMIAL(C14,D14)</f>
        <v>0</v>
      </c>
      <c r="F14" s="8">
        <f>_XLL.VOSEOUTPUT(Model!B14,,"Bacteria in bottle",1)+E14</f>
        <v>0</v>
      </c>
    </row>
    <row r="15" spans="2:6" ht="12.75">
      <c r="B15" s="9">
        <v>2</v>
      </c>
      <c r="C15" s="21">
        <f>IF(n-SUM($F$14:F14)=0,999,n-SUM($F$14:F14))</f>
        <v>216</v>
      </c>
      <c r="D15" s="24">
        <f aca="true" t="shared" si="0" ref="D15:D78">B/(V-B14*B)</f>
        <v>0.002004008016032064</v>
      </c>
      <c r="E15" s="29">
        <f>_XLL.VOSEBINOMIAL(C15,D15)</f>
        <v>0</v>
      </c>
      <c r="F15" s="10">
        <f>_XLL.VOSEOUTPUT(Model!B15,,"Bacteria in bottle",2)+IF(SUM($F$14:F14)&gt;=n,0,E15)</f>
        <v>0</v>
      </c>
    </row>
    <row r="16" spans="2:6" ht="12.75">
      <c r="B16" s="9">
        <v>3</v>
      </c>
      <c r="C16" s="21">
        <f>IF(n-SUM($F$14:F15)=0,999,n-SUM($F$14:F15))</f>
        <v>216</v>
      </c>
      <c r="D16" s="24">
        <f t="shared" si="0"/>
        <v>0.002008032128514056</v>
      </c>
      <c r="E16" s="29">
        <f>_XLL.VOSEBINOMIAL(C16,D16)</f>
        <v>0</v>
      </c>
      <c r="F16" s="27">
        <f>_XLL.VOSEOUTPUT(Model!B16,,"Bacteria in bottle",3)+IF(SUM($F$14:F15)&gt;=n,0,E16)</f>
        <v>0</v>
      </c>
    </row>
    <row r="17" spans="2:6" ht="12.75">
      <c r="B17" s="9">
        <v>4</v>
      </c>
      <c r="C17" s="21">
        <f>IF(n-SUM($F$14:F16)=0,999,n-SUM($F$14:F16))</f>
        <v>216</v>
      </c>
      <c r="D17" s="24">
        <f t="shared" si="0"/>
        <v>0.002012072434607646</v>
      </c>
      <c r="E17" s="29">
        <f>_XLL.VOSEBINOMIAL(C17,D17)</f>
        <v>1</v>
      </c>
      <c r="F17" s="30">
        <f>_XLL.VOSEOUTPUT(Model!B17,,"Bacteria in bottle",4)+IF(SUM($F$14:F16)&gt;=n,0,E17)</f>
        <v>1</v>
      </c>
    </row>
    <row r="18" spans="2:6" ht="12" customHeight="1">
      <c r="B18" s="9">
        <v>5</v>
      </c>
      <c r="C18" s="21">
        <f>IF(n-SUM($F$14:F17)=0,999,n-SUM($F$14:F17))</f>
        <v>215</v>
      </c>
      <c r="D18" s="24">
        <f t="shared" si="0"/>
        <v>0.0020161290322580645</v>
      </c>
      <c r="E18" s="29">
        <f>_XLL.VOSEBINOMIAL(C18,D18)</f>
        <v>1</v>
      </c>
      <c r="F18" s="10">
        <f>_XLL.VOSEOUTPUT(Model!B18,,"Bacteria in bottle",5)+IF(SUM($F$14:F17)&gt;=n,0,E18)</f>
        <v>1</v>
      </c>
    </row>
    <row r="19" spans="2:6" ht="12.75" hidden="1">
      <c r="B19" s="9">
        <v>6</v>
      </c>
      <c r="C19" s="21">
        <f>IF(n-SUM($F$14:F18)=0,999,n-SUM($F$14:F18))</f>
        <v>214</v>
      </c>
      <c r="D19" s="24">
        <f t="shared" si="0"/>
        <v>0.00202020202020202</v>
      </c>
      <c r="E19" s="29">
        <f>_XLL.VOSEBINOMIAL(C19,D19)</f>
        <v>0</v>
      </c>
      <c r="F19" s="10">
        <f>_XLL.VOSEOUTPUT(Model!B19,,"Bacteria in bottle",6)+IF(SUM($F$14:F18)&gt;=n,0,E19)</f>
        <v>0</v>
      </c>
    </row>
    <row r="20" spans="2:6" ht="12.75" hidden="1">
      <c r="B20" s="9">
        <v>7</v>
      </c>
      <c r="C20" s="21">
        <f>IF(n-SUM($F$14:F19)=0,999,n-SUM($F$14:F19))</f>
        <v>214</v>
      </c>
      <c r="D20" s="24">
        <f t="shared" si="0"/>
        <v>0.0020242914979757085</v>
      </c>
      <c r="E20" s="29">
        <f>_XLL.VOSEBINOMIAL(C20,D20)</f>
        <v>2</v>
      </c>
      <c r="F20" s="10">
        <f>_XLL.VOSEOUTPUT(Model!B20,,"Bacteria in bottle",7)+IF(SUM($F$14:F19)&gt;=n,0,E20)</f>
        <v>2</v>
      </c>
    </row>
    <row r="21" spans="2:6" ht="12.75" hidden="1">
      <c r="B21" s="9">
        <v>8</v>
      </c>
      <c r="C21" s="21">
        <f>IF(n-SUM($F$14:F20)=0,999,n-SUM($F$14:F20))</f>
        <v>212</v>
      </c>
      <c r="D21" s="24">
        <f t="shared" si="0"/>
        <v>0.002028397565922921</v>
      </c>
      <c r="E21" s="29">
        <f>_XLL.VOSEBINOMIAL(C21,D21)</f>
        <v>1</v>
      </c>
      <c r="F21" s="10">
        <f>_XLL.VOSEOUTPUT(Model!B21,,"Bacteria in bottle",8)+IF(SUM($F$14:F20)&gt;=n,0,E21)</f>
        <v>1</v>
      </c>
    </row>
    <row r="22" spans="2:6" ht="12.75" hidden="1">
      <c r="B22" s="9">
        <v>9</v>
      </c>
      <c r="C22" s="21">
        <f>IF(n-SUM($F$14:F21)=0,999,n-SUM($F$14:F21))</f>
        <v>211</v>
      </c>
      <c r="D22" s="24">
        <f t="shared" si="0"/>
        <v>0.0020325203252032522</v>
      </c>
      <c r="E22" s="29">
        <f>_XLL.VOSEBINOMIAL(C22,D22)</f>
        <v>0</v>
      </c>
      <c r="F22" s="10">
        <f>_XLL.VOSEOUTPUT(Model!B22,,"Bacteria in bottle",9)+IF(SUM($F$14:F21)&gt;=n,0,E22)</f>
        <v>0</v>
      </c>
    </row>
    <row r="23" spans="2:6" ht="12.75" hidden="1">
      <c r="B23" s="9">
        <v>10</v>
      </c>
      <c r="C23" s="21">
        <f>IF(n-SUM($F$14:F22)=0,999,n-SUM($F$14:F22))</f>
        <v>211</v>
      </c>
      <c r="D23" s="24">
        <f t="shared" si="0"/>
        <v>0.002036659877800407</v>
      </c>
      <c r="E23" s="29">
        <f>_XLL.VOSEBINOMIAL(C23,D23)</f>
        <v>0</v>
      </c>
      <c r="F23" s="10">
        <f>_XLL.VOSEOUTPUT(Model!B23,,"Bacteria in bottle",10)+IF(SUM($F$14:F22)&gt;=n,0,E23)</f>
        <v>0</v>
      </c>
    </row>
    <row r="24" spans="2:6" ht="12.75" hidden="1">
      <c r="B24" s="9">
        <v>11</v>
      </c>
      <c r="C24" s="21">
        <f>IF(n-SUM($F$14:F23)=0,999,n-SUM($F$14:F23))</f>
        <v>211</v>
      </c>
      <c r="D24" s="24">
        <f t="shared" si="0"/>
        <v>0.0020408163265306124</v>
      </c>
      <c r="E24" s="29">
        <f>_XLL.VOSEBINOMIAL(C24,D24)</f>
        <v>2</v>
      </c>
      <c r="F24" s="10">
        <f>_XLL.VOSEOUTPUT(Model!B24,,"Bacteria in bottle",11)+IF(SUM($F$14:F23)&gt;=n,0,E24)</f>
        <v>2</v>
      </c>
    </row>
    <row r="25" spans="2:6" ht="12.75" hidden="1">
      <c r="B25" s="9">
        <v>12</v>
      </c>
      <c r="C25" s="21">
        <f>IF(n-SUM($F$14:F24)=0,999,n-SUM($F$14:F24))</f>
        <v>209</v>
      </c>
      <c r="D25" s="24">
        <f t="shared" si="0"/>
        <v>0.002044989775051125</v>
      </c>
      <c r="E25" s="29">
        <f>_XLL.VOSEBINOMIAL(C25,D25)</f>
        <v>0</v>
      </c>
      <c r="F25" s="10">
        <f>_XLL.VOSEOUTPUT(Model!B25,,"Bacteria in bottle",12)+IF(SUM($F$14:F24)&gt;=n,0,E25)</f>
        <v>0</v>
      </c>
    </row>
    <row r="26" spans="2:6" ht="12.75" hidden="1">
      <c r="B26" s="9">
        <v>13</v>
      </c>
      <c r="C26" s="21">
        <f>IF(n-SUM($F$14:F25)=0,999,n-SUM($F$14:F25))</f>
        <v>209</v>
      </c>
      <c r="D26" s="24">
        <f t="shared" si="0"/>
        <v>0.0020491803278688526</v>
      </c>
      <c r="E26" s="29">
        <f>_XLL.VOSEBINOMIAL(C26,D26)</f>
        <v>1</v>
      </c>
      <c r="F26" s="10">
        <f>_XLL.VOSEOUTPUT(Model!B26,,"Bacteria in bottle",13)+IF(SUM($F$14:F25)&gt;=n,0,E26)</f>
        <v>1</v>
      </c>
    </row>
    <row r="27" spans="2:6" ht="12.75" hidden="1">
      <c r="B27" s="9">
        <v>14</v>
      </c>
      <c r="C27" s="21">
        <f>IF(n-SUM($F$14:F26)=0,999,n-SUM($F$14:F26))</f>
        <v>208</v>
      </c>
      <c r="D27" s="24">
        <f t="shared" si="0"/>
        <v>0.002053388090349076</v>
      </c>
      <c r="E27" s="29">
        <f>_XLL.VOSEBINOMIAL(C27,D27)</f>
        <v>1</v>
      </c>
      <c r="F27" s="10">
        <f>_XLL.VOSEOUTPUT(Model!B27,,"Bacteria in bottle",14)+IF(SUM($F$14:F26)&gt;=n,0,E27)</f>
        <v>1</v>
      </c>
    </row>
    <row r="28" spans="2:6" ht="12.75" hidden="1">
      <c r="B28" s="9">
        <v>15</v>
      </c>
      <c r="C28" s="21">
        <f>IF(n-SUM($F$14:F27)=0,999,n-SUM($F$14:F27))</f>
        <v>207</v>
      </c>
      <c r="D28" s="24">
        <f t="shared" si="0"/>
        <v>0.00205761316872428</v>
      </c>
      <c r="E28" s="29">
        <f>_XLL.VOSEBINOMIAL(C28,D28)</f>
        <v>3</v>
      </c>
      <c r="F28" s="10">
        <f>_XLL.VOSEOUTPUT(Model!B28,,"Bacteria in bottle",15)+IF(SUM($F$14:F27)&gt;=n,0,E28)</f>
        <v>3</v>
      </c>
    </row>
    <row r="29" spans="2:6" ht="12.75" hidden="1">
      <c r="B29" s="9">
        <v>16</v>
      </c>
      <c r="C29" s="21">
        <f>IF(n-SUM($F$14:F28)=0,999,n-SUM($F$14:F28))</f>
        <v>204</v>
      </c>
      <c r="D29" s="24">
        <f t="shared" si="0"/>
        <v>0.002061855670103093</v>
      </c>
      <c r="E29" s="29">
        <f>_XLL.VOSEBINOMIAL(C29,D29)</f>
        <v>0</v>
      </c>
      <c r="F29" s="10">
        <f>_XLL.VOSEOUTPUT(Model!B29,,"Bacteria in bottle",16)+IF(SUM($F$14:F28)&gt;=n,0,E29)</f>
        <v>0</v>
      </c>
    </row>
    <row r="30" spans="2:6" ht="12.75" hidden="1">
      <c r="B30" s="9">
        <v>17</v>
      </c>
      <c r="C30" s="21">
        <f>IF(n-SUM($F$14:F29)=0,999,n-SUM($F$14:F29))</f>
        <v>204</v>
      </c>
      <c r="D30" s="24">
        <f t="shared" si="0"/>
        <v>0.002066115702479339</v>
      </c>
      <c r="E30" s="29">
        <f>_XLL.VOSEBINOMIAL(C30,D30)</f>
        <v>1</v>
      </c>
      <c r="F30" s="10">
        <f>_XLL.VOSEOUTPUT(Model!B30,,"Bacteria in bottle",17)+IF(SUM($F$14:F29)&gt;=n,0,E30)</f>
        <v>1</v>
      </c>
    </row>
    <row r="31" spans="2:6" ht="12.75" hidden="1">
      <c r="B31" s="9">
        <v>18</v>
      </c>
      <c r="C31" s="21">
        <f>IF(n-SUM($F$14:F30)=0,999,n-SUM($F$14:F30))</f>
        <v>203</v>
      </c>
      <c r="D31" s="24">
        <f t="shared" si="0"/>
        <v>0.002070393374741201</v>
      </c>
      <c r="E31" s="29">
        <f>_XLL.VOSEBINOMIAL(C31,D31)</f>
        <v>0</v>
      </c>
      <c r="F31" s="10">
        <f>_XLL.VOSEOUTPUT(Model!B31,,"Bacteria in bottle",18)+IF(SUM($F$14:F30)&gt;=n,0,E31)</f>
        <v>0</v>
      </c>
    </row>
    <row r="32" spans="2:6" ht="12.75" hidden="1">
      <c r="B32" s="9">
        <v>19</v>
      </c>
      <c r="C32" s="21">
        <f>IF(n-SUM($F$14:F31)=0,999,n-SUM($F$14:F31))</f>
        <v>203</v>
      </c>
      <c r="D32" s="24">
        <f t="shared" si="0"/>
        <v>0.002074688796680498</v>
      </c>
      <c r="E32" s="29">
        <f>_XLL.VOSEBINOMIAL(C32,D32)</f>
        <v>0</v>
      </c>
      <c r="F32" s="10">
        <f>_XLL.VOSEOUTPUT(Model!B32,,"Bacteria in bottle",19)+IF(SUM($F$14:F31)&gt;=n,0,E32)</f>
        <v>0</v>
      </c>
    </row>
    <row r="33" spans="2:6" ht="12.75" hidden="1">
      <c r="B33" s="9">
        <v>20</v>
      </c>
      <c r="C33" s="21">
        <f>IF(n-SUM($F$14:F32)=0,999,n-SUM($F$14:F32))</f>
        <v>203</v>
      </c>
      <c r="D33" s="24">
        <f t="shared" si="0"/>
        <v>0.002079002079002079</v>
      </c>
      <c r="E33" s="29">
        <f>_XLL.VOSEBINOMIAL(C33,D33)</f>
        <v>0</v>
      </c>
      <c r="F33" s="10">
        <f>_XLL.VOSEOUTPUT(Model!B33,,"Bacteria in bottle",20)+IF(SUM($F$14:F32)&gt;=n,0,E33)</f>
        <v>0</v>
      </c>
    </row>
    <row r="34" spans="2:6" ht="12.75" hidden="1">
      <c r="B34" s="9">
        <v>21</v>
      </c>
      <c r="C34" s="21">
        <f>IF(n-SUM($F$14:F33)=0,999,n-SUM($F$14:F33))</f>
        <v>203</v>
      </c>
      <c r="D34" s="24">
        <f t="shared" si="0"/>
        <v>0.0020833333333333333</v>
      </c>
      <c r="E34" s="29">
        <f>_XLL.VOSEBINOMIAL(C34,D34)</f>
        <v>2</v>
      </c>
      <c r="F34" s="10">
        <f>_XLL.VOSEOUTPUT(Model!B34,,"Bacteria in bottle",21)+IF(SUM($F$14:F33)&gt;=n,0,E34)</f>
        <v>2</v>
      </c>
    </row>
    <row r="35" spans="2:6" ht="12.75" hidden="1">
      <c r="B35" s="9">
        <v>22</v>
      </c>
      <c r="C35" s="21">
        <f>IF(n-SUM($F$14:F34)=0,999,n-SUM($F$14:F34))</f>
        <v>201</v>
      </c>
      <c r="D35" s="24">
        <f t="shared" si="0"/>
        <v>0.0020876826722338203</v>
      </c>
      <c r="E35" s="29">
        <f>_XLL.VOSEBINOMIAL(C35,D35)</f>
        <v>0</v>
      </c>
      <c r="F35" s="10">
        <f>_XLL.VOSEOUTPUT(Model!B35,,"Bacteria in bottle",22)+IF(SUM($F$14:F34)&gt;=n,0,E35)</f>
        <v>0</v>
      </c>
    </row>
    <row r="36" spans="2:6" ht="12.75" hidden="1">
      <c r="B36" s="9">
        <v>23</v>
      </c>
      <c r="C36" s="21">
        <f>IF(n-SUM($F$14:F35)=0,999,n-SUM($F$14:F35))</f>
        <v>201</v>
      </c>
      <c r="D36" s="24">
        <f t="shared" si="0"/>
        <v>0.0020920502092050207</v>
      </c>
      <c r="E36" s="29">
        <f>_XLL.VOSEBINOMIAL(C36,D36)</f>
        <v>0</v>
      </c>
      <c r="F36" s="10">
        <f>_XLL.VOSEOUTPUT(Model!B36,,"Bacteria in bottle",23)+IF(SUM($F$14:F35)&gt;=n,0,E36)</f>
        <v>0</v>
      </c>
    </row>
    <row r="37" spans="2:6" ht="12.75" hidden="1">
      <c r="B37" s="9">
        <v>24</v>
      </c>
      <c r="C37" s="21">
        <f>IF(n-SUM($F$14:F36)=0,999,n-SUM($F$14:F36))</f>
        <v>201</v>
      </c>
      <c r="D37" s="24">
        <f t="shared" si="0"/>
        <v>0.0020964360587002098</v>
      </c>
      <c r="E37" s="29">
        <f>_XLL.VOSEBINOMIAL(C37,D37)</f>
        <v>0</v>
      </c>
      <c r="F37" s="10">
        <f>_XLL.VOSEOUTPUT(Model!B37,,"Bacteria in bottle",24)+IF(SUM($F$14:F36)&gt;=n,0,E37)</f>
        <v>0</v>
      </c>
    </row>
    <row r="38" spans="2:6" ht="12.75" hidden="1">
      <c r="B38" s="9">
        <v>25</v>
      </c>
      <c r="C38" s="21">
        <f>IF(n-SUM($F$14:F37)=0,999,n-SUM($F$14:F37))</f>
        <v>201</v>
      </c>
      <c r="D38" s="24">
        <f t="shared" si="0"/>
        <v>0.0021008403361344537</v>
      </c>
      <c r="E38" s="29">
        <f>_XLL.VOSEBINOMIAL(C38,D38)</f>
        <v>0</v>
      </c>
      <c r="F38" s="10">
        <f>_XLL.VOSEOUTPUT(Model!B38,,"Bacteria in bottle",25)+IF(SUM($F$14:F37)&gt;=n,0,E38)</f>
        <v>0</v>
      </c>
    </row>
    <row r="39" spans="2:6" ht="12.75" hidden="1">
      <c r="B39" s="9">
        <v>26</v>
      </c>
      <c r="C39" s="21">
        <f>IF(n-SUM($F$14:F38)=0,999,n-SUM($F$14:F38))</f>
        <v>201</v>
      </c>
      <c r="D39" s="24">
        <f t="shared" si="0"/>
        <v>0.002105263157894737</v>
      </c>
      <c r="E39" s="29">
        <f>_XLL.VOSEBINOMIAL(C39,D39)</f>
        <v>2</v>
      </c>
      <c r="F39" s="10">
        <f>_XLL.VOSEOUTPUT(Model!B39,,"Bacteria in bottle",26)+IF(SUM($F$14:F38)&gt;=n,0,E39)</f>
        <v>2</v>
      </c>
    </row>
    <row r="40" spans="2:6" ht="12.75" hidden="1">
      <c r="B40" s="9">
        <v>27</v>
      </c>
      <c r="C40" s="21">
        <f>IF(n-SUM($F$14:F39)=0,999,n-SUM($F$14:F39))</f>
        <v>199</v>
      </c>
      <c r="D40" s="24">
        <f t="shared" si="0"/>
        <v>0.002109704641350211</v>
      </c>
      <c r="E40" s="29">
        <f>_XLL.VOSEBINOMIAL(C40,D40)</f>
        <v>0</v>
      </c>
      <c r="F40" s="10">
        <f>_XLL.VOSEOUTPUT(Model!B40,,"Bacteria in bottle",27)+IF(SUM($F$14:F39)&gt;=n,0,E40)</f>
        <v>0</v>
      </c>
    </row>
    <row r="41" spans="2:6" ht="12.75" hidden="1">
      <c r="B41" s="9">
        <v>28</v>
      </c>
      <c r="C41" s="21">
        <f>IF(n-SUM($F$14:F40)=0,999,n-SUM($F$14:F40))</f>
        <v>199</v>
      </c>
      <c r="D41" s="24">
        <f t="shared" si="0"/>
        <v>0.0021141649048625794</v>
      </c>
      <c r="E41" s="29">
        <f>_XLL.VOSEBINOMIAL(C41,D41)</f>
        <v>0</v>
      </c>
      <c r="F41" s="10">
        <f>_XLL.VOSEOUTPUT(Model!B41,,"Bacteria in bottle",28)+IF(SUM($F$14:F40)&gt;=n,0,E41)</f>
        <v>0</v>
      </c>
    </row>
    <row r="42" spans="2:6" ht="12.75" hidden="1">
      <c r="B42" s="9">
        <v>29</v>
      </c>
      <c r="C42" s="21">
        <f>IF(n-SUM($F$14:F41)=0,999,n-SUM($F$14:F41))</f>
        <v>199</v>
      </c>
      <c r="D42" s="24">
        <f t="shared" si="0"/>
        <v>0.00211864406779661</v>
      </c>
      <c r="E42" s="29">
        <f>_XLL.VOSEBINOMIAL(C42,D42)</f>
        <v>1</v>
      </c>
      <c r="F42" s="10">
        <f>_XLL.VOSEOUTPUT(Model!B42,,"Bacteria in bottle",29)+IF(SUM($F$14:F41)&gt;=n,0,E42)</f>
        <v>1</v>
      </c>
    </row>
    <row r="43" spans="2:6" ht="12.75" hidden="1">
      <c r="B43" s="9">
        <v>30</v>
      </c>
      <c r="C43" s="21">
        <f>IF(n-SUM($F$14:F42)=0,999,n-SUM($F$14:F42))</f>
        <v>198</v>
      </c>
      <c r="D43" s="24">
        <f t="shared" si="0"/>
        <v>0.0021231422505307855</v>
      </c>
      <c r="E43" s="29">
        <f>_XLL.VOSEBINOMIAL(C43,D43)</f>
        <v>1</v>
      </c>
      <c r="F43" s="10">
        <f>_XLL.VOSEOUTPUT(Model!B43,,"Bacteria in bottle",30)+IF(SUM($F$14:F42)&gt;=n,0,E43)</f>
        <v>1</v>
      </c>
    </row>
    <row r="44" spans="2:6" ht="12.75" hidden="1">
      <c r="B44" s="9">
        <v>31</v>
      </c>
      <c r="C44" s="21">
        <f>IF(n-SUM($F$14:F43)=0,999,n-SUM($F$14:F43))</f>
        <v>197</v>
      </c>
      <c r="D44" s="24">
        <f t="shared" si="0"/>
        <v>0.002127659574468085</v>
      </c>
      <c r="E44" s="29">
        <f>_XLL.VOSEBINOMIAL(C44,D44)</f>
        <v>0</v>
      </c>
      <c r="F44" s="10">
        <f>_XLL.VOSEOUTPUT(Model!B44,,"Bacteria in bottle",31)+IF(SUM($F$14:F43)&gt;=n,0,E44)</f>
        <v>0</v>
      </c>
    </row>
    <row r="45" spans="2:6" ht="12.75" hidden="1">
      <c r="B45" s="9">
        <v>32</v>
      </c>
      <c r="C45" s="21">
        <f>IF(n-SUM($F$14:F44)=0,999,n-SUM($F$14:F44))</f>
        <v>197</v>
      </c>
      <c r="D45" s="24">
        <f t="shared" si="0"/>
        <v>0.0021321961620469083</v>
      </c>
      <c r="E45" s="29">
        <f>_XLL.VOSEBINOMIAL(C45,D45)</f>
        <v>0</v>
      </c>
      <c r="F45" s="10">
        <f>_XLL.VOSEOUTPUT(Model!B45,,"Bacteria in bottle",32)+IF(SUM($F$14:F44)&gt;=n,0,E45)</f>
        <v>0</v>
      </c>
    </row>
    <row r="46" spans="2:6" ht="12.75" hidden="1">
      <c r="B46" s="9">
        <v>33</v>
      </c>
      <c r="C46" s="21">
        <f>IF(n-SUM($F$14:F45)=0,999,n-SUM($F$14:F45))</f>
        <v>197</v>
      </c>
      <c r="D46" s="24">
        <f t="shared" si="0"/>
        <v>0.002136752136752137</v>
      </c>
      <c r="E46" s="29">
        <f>_XLL.VOSEBINOMIAL(C46,D46)</f>
        <v>1</v>
      </c>
      <c r="F46" s="10">
        <f>_XLL.VOSEOUTPUT(Model!B46,,"Bacteria in bottle",33)+IF(SUM($F$14:F45)&gt;=n,0,E46)</f>
        <v>1</v>
      </c>
    </row>
    <row r="47" spans="2:6" ht="12.75" hidden="1">
      <c r="B47" s="9">
        <v>34</v>
      </c>
      <c r="C47" s="21">
        <f>IF(n-SUM($F$14:F46)=0,999,n-SUM($F$14:F46))</f>
        <v>196</v>
      </c>
      <c r="D47" s="24">
        <f t="shared" si="0"/>
        <v>0.0021413276231263384</v>
      </c>
      <c r="E47" s="29">
        <f>_XLL.VOSEBINOMIAL(C47,D47)</f>
        <v>0</v>
      </c>
      <c r="F47" s="10">
        <f>_XLL.VOSEOUTPUT(Model!B47,,"Bacteria in bottle",34)+IF(SUM($F$14:F46)&gt;=n,0,E47)</f>
        <v>0</v>
      </c>
    </row>
    <row r="48" spans="2:6" ht="12.75" hidden="1">
      <c r="B48" s="9">
        <v>35</v>
      </c>
      <c r="C48" s="21">
        <f>IF(n-SUM($F$14:F47)=0,999,n-SUM($F$14:F47))</f>
        <v>196</v>
      </c>
      <c r="D48" s="24">
        <f t="shared" si="0"/>
        <v>0.002145922746781116</v>
      </c>
      <c r="E48" s="29">
        <f>_XLL.VOSEBINOMIAL(C48,D48)</f>
        <v>0</v>
      </c>
      <c r="F48" s="10">
        <f>_XLL.VOSEOUTPUT(Model!B48,,"Bacteria in bottle",35)+IF(SUM($F$14:F47)&gt;=n,0,E48)</f>
        <v>0</v>
      </c>
    </row>
    <row r="49" spans="2:6" ht="12.75" hidden="1">
      <c r="B49" s="9">
        <v>36</v>
      </c>
      <c r="C49" s="21">
        <f>IF(n-SUM($F$14:F48)=0,999,n-SUM($F$14:F48))</f>
        <v>196</v>
      </c>
      <c r="D49" s="24">
        <f t="shared" si="0"/>
        <v>0.002150537634408602</v>
      </c>
      <c r="E49" s="29">
        <f>_XLL.VOSEBINOMIAL(C49,D49)</f>
        <v>1</v>
      </c>
      <c r="F49" s="10">
        <f>_XLL.VOSEOUTPUT(Model!B49,,"Bacteria in bottle",36)+IF(SUM($F$14:F48)&gt;=n,0,E49)</f>
        <v>1</v>
      </c>
    </row>
    <row r="50" spans="2:6" ht="12.75" hidden="1">
      <c r="B50" s="9">
        <v>37</v>
      </c>
      <c r="C50" s="21">
        <f>IF(n-SUM($F$14:F49)=0,999,n-SUM($F$14:F49))</f>
        <v>195</v>
      </c>
      <c r="D50" s="24">
        <f t="shared" si="0"/>
        <v>0.0021551724137931034</v>
      </c>
      <c r="E50" s="29">
        <f>_XLL.VOSEBINOMIAL(C50,D50)</f>
        <v>0</v>
      </c>
      <c r="F50" s="10">
        <f>_XLL.VOSEOUTPUT(Model!B50,,"Bacteria in bottle",37)+IF(SUM($F$14:F49)&gt;=n,0,E50)</f>
        <v>0</v>
      </c>
    </row>
    <row r="51" spans="2:6" ht="12.75" hidden="1">
      <c r="B51" s="9">
        <v>38</v>
      </c>
      <c r="C51" s="21">
        <f>IF(n-SUM($F$14:F50)=0,999,n-SUM($F$14:F50))</f>
        <v>195</v>
      </c>
      <c r="D51" s="24">
        <f t="shared" si="0"/>
        <v>0.0021598272138228943</v>
      </c>
      <c r="E51" s="29">
        <f>_XLL.VOSEBINOMIAL(C51,D51)</f>
        <v>0</v>
      </c>
      <c r="F51" s="10">
        <f>_XLL.VOSEOUTPUT(Model!B51,,"Bacteria in bottle",38)+IF(SUM($F$14:F50)&gt;=n,0,E51)</f>
        <v>0</v>
      </c>
    </row>
    <row r="52" spans="2:6" ht="12.75" hidden="1">
      <c r="B52" s="9">
        <v>39</v>
      </c>
      <c r="C52" s="21">
        <f>IF(n-SUM($F$14:F51)=0,999,n-SUM($F$14:F51))</f>
        <v>195</v>
      </c>
      <c r="D52" s="24">
        <f t="shared" si="0"/>
        <v>0.0021645021645021645</v>
      </c>
      <c r="E52" s="29">
        <f>_XLL.VOSEBINOMIAL(C52,D52)</f>
        <v>0</v>
      </c>
      <c r="F52" s="10">
        <f>_XLL.VOSEOUTPUT(Model!B52,,"Bacteria in bottle",39)+IF(SUM($F$14:F51)&gt;=n,0,E52)</f>
        <v>0</v>
      </c>
    </row>
    <row r="53" spans="2:6" ht="12.75" hidden="1">
      <c r="B53" s="9">
        <v>40</v>
      </c>
      <c r="C53" s="21">
        <f>IF(n-SUM($F$14:F52)=0,999,n-SUM($F$14:F52))</f>
        <v>195</v>
      </c>
      <c r="D53" s="24">
        <f t="shared" si="0"/>
        <v>0.0021691973969631237</v>
      </c>
      <c r="E53" s="29">
        <f>_XLL.VOSEBINOMIAL(C53,D53)</f>
        <v>0</v>
      </c>
      <c r="F53" s="10">
        <f>_XLL.VOSEOUTPUT(Model!B53,,"Bacteria in bottle",40)+IF(SUM($F$14:F52)&gt;=n,0,E53)</f>
        <v>0</v>
      </c>
    </row>
    <row r="54" spans="2:6" ht="12.75" hidden="1">
      <c r="B54" s="9">
        <v>41</v>
      </c>
      <c r="C54" s="21">
        <f>IF(n-SUM($F$14:F53)=0,999,n-SUM($F$14:F53))</f>
        <v>195</v>
      </c>
      <c r="D54" s="24">
        <f t="shared" si="0"/>
        <v>0.002173913043478261</v>
      </c>
      <c r="E54" s="29">
        <f>_XLL.VOSEBINOMIAL(C54,D54)</f>
        <v>0</v>
      </c>
      <c r="F54" s="10">
        <f>_XLL.VOSEOUTPUT(Model!B54,,"Bacteria in bottle",41)+IF(SUM($F$14:F53)&gt;=n,0,E54)</f>
        <v>0</v>
      </c>
    </row>
    <row r="55" spans="2:6" ht="12.75" hidden="1">
      <c r="B55" s="9">
        <v>42</v>
      </c>
      <c r="C55" s="21">
        <f>IF(n-SUM($F$14:F54)=0,999,n-SUM($F$14:F54))</f>
        <v>195</v>
      </c>
      <c r="D55" s="24">
        <f t="shared" si="0"/>
        <v>0.002178649237472767</v>
      </c>
      <c r="E55" s="29">
        <f>_XLL.VOSEBINOMIAL(C55,D55)</f>
        <v>0</v>
      </c>
      <c r="F55" s="10">
        <f>_XLL.VOSEOUTPUT(Model!B55,,"Bacteria in bottle",42)+IF(SUM($F$14:F54)&gt;=n,0,E55)</f>
        <v>0</v>
      </c>
    </row>
    <row r="56" spans="2:6" ht="12.75" hidden="1">
      <c r="B56" s="9">
        <v>43</v>
      </c>
      <c r="C56" s="21">
        <f>IF(n-SUM($F$14:F55)=0,999,n-SUM($F$14:F55))</f>
        <v>195</v>
      </c>
      <c r="D56" s="24">
        <f t="shared" si="0"/>
        <v>0.002183406113537118</v>
      </c>
      <c r="E56" s="29">
        <f>_XLL.VOSEBINOMIAL(C56,D56)</f>
        <v>0</v>
      </c>
      <c r="F56" s="10">
        <f>_XLL.VOSEOUTPUT(Model!B56,,"Bacteria in bottle",43)+IF(SUM($F$14:F55)&gt;=n,0,E56)</f>
        <v>0</v>
      </c>
    </row>
    <row r="57" spans="2:6" ht="12.75" hidden="1">
      <c r="B57" s="9">
        <v>44</v>
      </c>
      <c r="C57" s="21">
        <f>IF(n-SUM($F$14:F56)=0,999,n-SUM($F$14:F56))</f>
        <v>195</v>
      </c>
      <c r="D57" s="24">
        <f t="shared" si="0"/>
        <v>0.002188183807439825</v>
      </c>
      <c r="E57" s="29">
        <f>_XLL.VOSEBINOMIAL(C57,D57)</f>
        <v>0</v>
      </c>
      <c r="F57" s="10">
        <f>_XLL.VOSEOUTPUT(Model!B57,,"Bacteria in bottle",44)+IF(SUM($F$14:F56)&gt;=n,0,E57)</f>
        <v>0</v>
      </c>
    </row>
    <row r="58" spans="2:6" ht="12.75" hidden="1">
      <c r="B58" s="9">
        <v>45</v>
      </c>
      <c r="C58" s="21">
        <f>IF(n-SUM($F$14:F57)=0,999,n-SUM($F$14:F57))</f>
        <v>195</v>
      </c>
      <c r="D58" s="24">
        <f t="shared" si="0"/>
        <v>0.0021929824561403508</v>
      </c>
      <c r="E58" s="29">
        <f>_XLL.VOSEBINOMIAL(C58,D58)</f>
        <v>0</v>
      </c>
      <c r="F58" s="10">
        <f>_XLL.VOSEOUTPUT(Model!B58,,"Bacteria in bottle",45)+IF(SUM($F$14:F57)&gt;=n,0,E58)</f>
        <v>0</v>
      </c>
    </row>
    <row r="59" spans="2:6" ht="12.75" hidden="1">
      <c r="B59" s="9">
        <v>46</v>
      </c>
      <c r="C59" s="21">
        <f>IF(n-SUM($F$14:F58)=0,999,n-SUM($F$14:F58))</f>
        <v>195</v>
      </c>
      <c r="D59" s="24">
        <f t="shared" si="0"/>
        <v>0.002197802197802198</v>
      </c>
      <c r="E59" s="29">
        <f>_XLL.VOSEBINOMIAL(C59,D59)</f>
        <v>1</v>
      </c>
      <c r="F59" s="10">
        <f>_XLL.VOSEOUTPUT(Model!B59,,"Bacteria in bottle",46)+IF(SUM($F$14:F58)&gt;=n,0,E59)</f>
        <v>1</v>
      </c>
    </row>
    <row r="60" spans="2:6" ht="12.75" hidden="1">
      <c r="B60" s="9">
        <v>47</v>
      </c>
      <c r="C60" s="21">
        <f>IF(n-SUM($F$14:F59)=0,999,n-SUM($F$14:F59))</f>
        <v>194</v>
      </c>
      <c r="D60" s="24">
        <f t="shared" si="0"/>
        <v>0.0022026431718061676</v>
      </c>
      <c r="E60" s="29">
        <f>_XLL.VOSEBINOMIAL(C60,D60)</f>
        <v>0</v>
      </c>
      <c r="F60" s="10">
        <f>_XLL.VOSEOUTPUT(Model!B60,,"Bacteria in bottle",47)+IF(SUM($F$14:F59)&gt;=n,0,E60)</f>
        <v>0</v>
      </c>
    </row>
    <row r="61" spans="2:6" ht="12.75" hidden="1">
      <c r="B61" s="9">
        <v>48</v>
      </c>
      <c r="C61" s="21">
        <f>IF(n-SUM($F$14:F60)=0,999,n-SUM($F$14:F60))</f>
        <v>194</v>
      </c>
      <c r="D61" s="24">
        <f t="shared" si="0"/>
        <v>0.002207505518763797</v>
      </c>
      <c r="E61" s="29">
        <f>_XLL.VOSEBINOMIAL(C61,D61)</f>
        <v>1</v>
      </c>
      <c r="F61" s="10">
        <f>_XLL.VOSEOUTPUT(Model!B61,,"Bacteria in bottle",48)+IF(SUM($F$14:F60)&gt;=n,0,E61)</f>
        <v>1</v>
      </c>
    </row>
    <row r="62" spans="2:6" ht="12.75" hidden="1">
      <c r="B62" s="9">
        <v>49</v>
      </c>
      <c r="C62" s="21">
        <f>IF(n-SUM($F$14:F61)=0,999,n-SUM($F$14:F61))</f>
        <v>193</v>
      </c>
      <c r="D62" s="24">
        <f t="shared" si="0"/>
        <v>0.0022123893805309734</v>
      </c>
      <c r="E62" s="29">
        <f>_XLL.VOSEBINOMIAL(C62,D62)</f>
        <v>0</v>
      </c>
      <c r="F62" s="10">
        <f>_XLL.VOSEOUTPUT(Model!B62,,"Bacteria in bottle",49)+IF(SUM($F$14:F61)&gt;=n,0,E62)</f>
        <v>0</v>
      </c>
    </row>
    <row r="63" spans="2:6" ht="12.75" hidden="1">
      <c r="B63" s="9">
        <v>50</v>
      </c>
      <c r="C63" s="21">
        <f>IF(n-SUM($F$14:F62)=0,999,n-SUM($F$14:F62))</f>
        <v>193</v>
      </c>
      <c r="D63" s="24">
        <f t="shared" si="0"/>
        <v>0.0022172949002217295</v>
      </c>
      <c r="E63" s="29">
        <f>_XLL.VOSEBINOMIAL(C63,D63)</f>
        <v>0</v>
      </c>
      <c r="F63" s="10">
        <f>_XLL.VOSEOUTPUT(Model!B63,,"Bacteria in bottle",50)+IF(SUM($F$14:F62)&gt;=n,0,E63)</f>
        <v>0</v>
      </c>
    </row>
    <row r="64" spans="2:6" ht="12.75" hidden="1">
      <c r="B64" s="9">
        <v>51</v>
      </c>
      <c r="C64" s="21">
        <f>IF(n-SUM($F$14:F63)=0,999,n-SUM($F$14:F63))</f>
        <v>193</v>
      </c>
      <c r="D64" s="24">
        <f t="shared" si="0"/>
        <v>0.0022222222222222222</v>
      </c>
      <c r="E64" s="29">
        <f>_XLL.VOSEBINOMIAL(C64,D64)</f>
        <v>0</v>
      </c>
      <c r="F64" s="10">
        <f>_XLL.VOSEOUTPUT(Model!B64,,"Bacteria in bottle",51)+IF(SUM($F$14:F63)&gt;=n,0,E64)</f>
        <v>0</v>
      </c>
    </row>
    <row r="65" spans="2:6" ht="12.75" hidden="1">
      <c r="B65" s="9">
        <v>52</v>
      </c>
      <c r="C65" s="21">
        <f>IF(n-SUM($F$14:F64)=0,999,n-SUM($F$14:F64))</f>
        <v>193</v>
      </c>
      <c r="D65" s="24">
        <f t="shared" si="0"/>
        <v>0.0022271714922048997</v>
      </c>
      <c r="E65" s="29">
        <f>_XLL.VOSEBINOMIAL(C65,D65)</f>
        <v>0</v>
      </c>
      <c r="F65" s="10">
        <f>_XLL.VOSEOUTPUT(Model!B65,,"Bacteria in bottle",52)+IF(SUM($F$14:F64)&gt;=n,0,E65)</f>
        <v>0</v>
      </c>
    </row>
    <row r="66" spans="2:6" ht="12.75" hidden="1">
      <c r="B66" s="9">
        <v>53</v>
      </c>
      <c r="C66" s="21">
        <f>IF(n-SUM($F$14:F65)=0,999,n-SUM($F$14:F65))</f>
        <v>193</v>
      </c>
      <c r="D66" s="24">
        <f t="shared" si="0"/>
        <v>0.002232142857142857</v>
      </c>
      <c r="E66" s="29">
        <f>_XLL.VOSEBINOMIAL(C66,D66)</f>
        <v>0</v>
      </c>
      <c r="F66" s="10">
        <f>_XLL.VOSEOUTPUT(Model!B66,,"Bacteria in bottle",53)+IF(SUM($F$14:F65)&gt;=n,0,E66)</f>
        <v>0</v>
      </c>
    </row>
    <row r="67" spans="2:6" ht="12.75" hidden="1">
      <c r="B67" s="9">
        <v>54</v>
      </c>
      <c r="C67" s="21">
        <f>IF(n-SUM($F$14:F66)=0,999,n-SUM($F$14:F66))</f>
        <v>193</v>
      </c>
      <c r="D67" s="24">
        <f t="shared" si="0"/>
        <v>0.0022371364653243847</v>
      </c>
      <c r="E67" s="29">
        <f>_XLL.VOSEBINOMIAL(C67,D67)</f>
        <v>1</v>
      </c>
      <c r="F67" s="10">
        <f>_XLL.VOSEOUTPUT(Model!B67,,"Bacteria in bottle",54)+IF(SUM($F$14:F66)&gt;=n,0,E67)</f>
        <v>1</v>
      </c>
    </row>
    <row r="68" spans="2:6" ht="12.75" hidden="1">
      <c r="B68" s="9">
        <v>55</v>
      </c>
      <c r="C68" s="21">
        <f>IF(n-SUM($F$14:F67)=0,999,n-SUM($F$14:F67))</f>
        <v>192</v>
      </c>
      <c r="D68" s="24">
        <f t="shared" si="0"/>
        <v>0.002242152466367713</v>
      </c>
      <c r="E68" s="29">
        <f>_XLL.VOSEBINOMIAL(C68,D68)</f>
        <v>1</v>
      </c>
      <c r="F68" s="10">
        <f>_XLL.VOSEOUTPUT(Model!B68,,"Bacteria in bottle",55)+IF(SUM($F$14:F67)&gt;=n,0,E68)</f>
        <v>1</v>
      </c>
    </row>
    <row r="69" spans="2:6" ht="12.75" hidden="1">
      <c r="B69" s="9">
        <v>56</v>
      </c>
      <c r="C69" s="21">
        <f>IF(n-SUM($F$14:F68)=0,999,n-SUM($F$14:F68))</f>
        <v>191</v>
      </c>
      <c r="D69" s="24">
        <f t="shared" si="0"/>
        <v>0.0022471910112359553</v>
      </c>
      <c r="E69" s="29">
        <f>_XLL.VOSEBINOMIAL(C69,D69)</f>
        <v>1</v>
      </c>
      <c r="F69" s="10">
        <f>_XLL.VOSEOUTPUT(Model!B69,,"Bacteria in bottle",56)+IF(SUM($F$14:F68)&gt;=n,0,E69)</f>
        <v>1</v>
      </c>
    </row>
    <row r="70" spans="2:6" ht="12.75" hidden="1">
      <c r="B70" s="9">
        <v>57</v>
      </c>
      <c r="C70" s="21">
        <f>IF(n-SUM($F$14:F69)=0,999,n-SUM($F$14:F69))</f>
        <v>190</v>
      </c>
      <c r="D70" s="24">
        <f t="shared" si="0"/>
        <v>0.0022522522522522522</v>
      </c>
      <c r="E70" s="29">
        <f>_XLL.VOSEBINOMIAL(C70,D70)</f>
        <v>0</v>
      </c>
      <c r="F70" s="10">
        <f>_XLL.VOSEOUTPUT(Model!B70,,"Bacteria in bottle",57)+IF(SUM($F$14:F69)&gt;=n,0,E70)</f>
        <v>0</v>
      </c>
    </row>
    <row r="71" spans="2:6" ht="12.75" hidden="1">
      <c r="B71" s="9">
        <v>58</v>
      </c>
      <c r="C71" s="21">
        <f>IF(n-SUM($F$14:F70)=0,999,n-SUM($F$14:F70))</f>
        <v>190</v>
      </c>
      <c r="D71" s="24">
        <f t="shared" si="0"/>
        <v>0.002257336343115124</v>
      </c>
      <c r="E71" s="29">
        <f>_XLL.VOSEBINOMIAL(C71,D71)</f>
        <v>0</v>
      </c>
      <c r="F71" s="10">
        <f>_XLL.VOSEOUTPUT(Model!B71,,"Bacteria in bottle",58)+IF(SUM($F$14:F70)&gt;=n,0,E71)</f>
        <v>0</v>
      </c>
    </row>
    <row r="72" spans="2:6" ht="12.75" hidden="1">
      <c r="B72" s="9">
        <v>59</v>
      </c>
      <c r="C72" s="21">
        <f>IF(n-SUM($F$14:F71)=0,999,n-SUM($F$14:F71))</f>
        <v>190</v>
      </c>
      <c r="D72" s="24">
        <f t="shared" si="0"/>
        <v>0.0022624434389140274</v>
      </c>
      <c r="E72" s="29">
        <f>_XLL.VOSEBINOMIAL(C72,D72)</f>
        <v>1</v>
      </c>
      <c r="F72" s="10">
        <f>_XLL.VOSEOUTPUT(Model!B72,,"Bacteria in bottle",59)+IF(SUM($F$14:F71)&gt;=n,0,E72)</f>
        <v>1</v>
      </c>
    </row>
    <row r="73" spans="2:6" ht="12.75" hidden="1">
      <c r="B73" s="9">
        <v>60</v>
      </c>
      <c r="C73" s="21">
        <f>IF(n-SUM($F$14:F72)=0,999,n-SUM($F$14:F72))</f>
        <v>189</v>
      </c>
      <c r="D73" s="24">
        <f t="shared" si="0"/>
        <v>0.0022675736961451248</v>
      </c>
      <c r="E73" s="29">
        <f>_XLL.VOSEBINOMIAL(C73,D73)</f>
        <v>0</v>
      </c>
      <c r="F73" s="10">
        <f>_XLL.VOSEOUTPUT(Model!B73,,"Bacteria in bottle",60)+IF(SUM($F$14:F72)&gt;=n,0,E73)</f>
        <v>0</v>
      </c>
    </row>
    <row r="74" spans="2:6" ht="12.75" hidden="1">
      <c r="B74" s="9">
        <v>61</v>
      </c>
      <c r="C74" s="21">
        <f>IF(n-SUM($F$14:F73)=0,999,n-SUM($F$14:F73))</f>
        <v>189</v>
      </c>
      <c r="D74" s="24">
        <f t="shared" si="0"/>
        <v>0.0022727272727272726</v>
      </c>
      <c r="E74" s="29">
        <f>_XLL.VOSEBINOMIAL(C74,D74)</f>
        <v>0</v>
      </c>
      <c r="F74" s="10">
        <f>_XLL.VOSEOUTPUT(Model!B74,,"Bacteria in bottle",61)+IF(SUM($F$14:F73)&gt;=n,0,E74)</f>
        <v>0</v>
      </c>
    </row>
    <row r="75" spans="2:6" ht="12.75" hidden="1">
      <c r="B75" s="9">
        <v>62</v>
      </c>
      <c r="C75" s="21">
        <f>IF(n-SUM($F$14:F74)=0,999,n-SUM($F$14:F74))</f>
        <v>189</v>
      </c>
      <c r="D75" s="24">
        <f t="shared" si="0"/>
        <v>0.002277904328018223</v>
      </c>
      <c r="E75" s="29">
        <f>_XLL.VOSEBINOMIAL(C75,D75)</f>
        <v>0</v>
      </c>
      <c r="F75" s="10">
        <f>_XLL.VOSEOUTPUT(Model!B75,,"Bacteria in bottle",62)+IF(SUM($F$14:F74)&gt;=n,0,E75)</f>
        <v>0</v>
      </c>
    </row>
    <row r="76" spans="2:6" ht="12.75" hidden="1">
      <c r="B76" s="9">
        <v>63</v>
      </c>
      <c r="C76" s="21">
        <f>IF(n-SUM($F$14:F75)=0,999,n-SUM($F$14:F75))</f>
        <v>189</v>
      </c>
      <c r="D76" s="24">
        <f t="shared" si="0"/>
        <v>0.00228310502283105</v>
      </c>
      <c r="E76" s="29">
        <f>_XLL.VOSEBINOMIAL(C76,D76)</f>
        <v>3</v>
      </c>
      <c r="F76" s="10">
        <f>_XLL.VOSEOUTPUT(Model!B76,,"Bacteria in bottle",63)+IF(SUM($F$14:F75)&gt;=n,0,E76)</f>
        <v>3</v>
      </c>
    </row>
    <row r="77" spans="2:6" ht="12.75" hidden="1">
      <c r="B77" s="9">
        <v>64</v>
      </c>
      <c r="C77" s="21">
        <f>IF(n-SUM($F$14:F76)=0,999,n-SUM($F$14:F76))</f>
        <v>186</v>
      </c>
      <c r="D77" s="24">
        <f t="shared" si="0"/>
        <v>0.002288329519450801</v>
      </c>
      <c r="E77" s="29">
        <f>_XLL.VOSEBINOMIAL(C77,D77)</f>
        <v>1</v>
      </c>
      <c r="F77" s="10">
        <f>_XLL.VOSEOUTPUT(Model!B77,,"Bacteria in bottle",64)+IF(SUM($F$14:F76)&gt;=n,0,E77)</f>
        <v>1</v>
      </c>
    </row>
    <row r="78" spans="2:6" ht="12.75" hidden="1">
      <c r="B78" s="9">
        <v>65</v>
      </c>
      <c r="C78" s="21">
        <f>IF(n-SUM($F$14:F77)=0,999,n-SUM($F$14:F77))</f>
        <v>185</v>
      </c>
      <c r="D78" s="24">
        <f t="shared" si="0"/>
        <v>0.0022935779816513763</v>
      </c>
      <c r="E78" s="29">
        <f>_XLL.VOSEBINOMIAL(C78,D78)</f>
        <v>0</v>
      </c>
      <c r="F78" s="10">
        <f>_XLL.VOSEOUTPUT(Model!B78,,"Bacteria in bottle",65)+IF(SUM($F$14:F77)&gt;=n,0,E78)</f>
        <v>0</v>
      </c>
    </row>
    <row r="79" spans="2:6" ht="12.75" hidden="1">
      <c r="B79" s="9">
        <v>66</v>
      </c>
      <c r="C79" s="21">
        <f>IF(n-SUM($F$14:F78)=0,999,n-SUM($F$14:F78))</f>
        <v>185</v>
      </c>
      <c r="D79" s="24">
        <f aca="true" t="shared" si="1" ref="D79:D142">B/(V-B78*B)</f>
        <v>0.0022988505747126436</v>
      </c>
      <c r="E79" s="29">
        <f>_XLL.VOSEBINOMIAL(C79,D79)</f>
        <v>0</v>
      </c>
      <c r="F79" s="10">
        <f>_XLL.VOSEOUTPUT(Model!B79,,"Bacteria in bottle",66)+IF(SUM($F$14:F78)&gt;=n,0,E79)</f>
        <v>0</v>
      </c>
    </row>
    <row r="80" spans="2:6" ht="12.75" hidden="1">
      <c r="B80" s="9">
        <v>67</v>
      </c>
      <c r="C80" s="21">
        <f>IF(n-SUM($F$14:F79)=0,999,n-SUM($F$14:F79))</f>
        <v>185</v>
      </c>
      <c r="D80" s="24">
        <f t="shared" si="1"/>
        <v>0.002304147465437788</v>
      </c>
      <c r="E80" s="29">
        <f>_XLL.VOSEBINOMIAL(C80,D80)</f>
        <v>0</v>
      </c>
      <c r="F80" s="10">
        <f>_XLL.VOSEOUTPUT(Model!B80,,"Bacteria in bottle",67)+IF(SUM($F$14:F79)&gt;=n,0,E80)</f>
        <v>0</v>
      </c>
    </row>
    <row r="81" spans="2:6" ht="12.75" hidden="1">
      <c r="B81" s="9">
        <v>68</v>
      </c>
      <c r="C81" s="21">
        <f>IF(n-SUM($F$14:F80)=0,999,n-SUM($F$14:F80))</f>
        <v>185</v>
      </c>
      <c r="D81" s="24">
        <f t="shared" si="1"/>
        <v>0.0023094688221709007</v>
      </c>
      <c r="E81" s="29">
        <f>_XLL.VOSEBINOMIAL(C81,D81)</f>
        <v>1</v>
      </c>
      <c r="F81" s="10">
        <f>_XLL.VOSEOUTPUT(Model!B81,,"Bacteria in bottle",68)+IF(SUM($F$14:F80)&gt;=n,0,E81)</f>
        <v>1</v>
      </c>
    </row>
    <row r="82" spans="2:6" ht="12.75" hidden="1">
      <c r="B82" s="9">
        <v>69</v>
      </c>
      <c r="C82" s="21">
        <f>IF(n-SUM($F$14:F81)=0,999,n-SUM($F$14:F81))</f>
        <v>184</v>
      </c>
      <c r="D82" s="24">
        <f t="shared" si="1"/>
        <v>0.0023148148148148147</v>
      </c>
      <c r="E82" s="29">
        <f>_XLL.VOSEBINOMIAL(C82,D82)</f>
        <v>1</v>
      </c>
      <c r="F82" s="10">
        <f>_XLL.VOSEOUTPUT(Model!B82,,"Bacteria in bottle",69)+IF(SUM($F$14:F81)&gt;=n,0,E82)</f>
        <v>1</v>
      </c>
    </row>
    <row r="83" spans="2:6" ht="12.75" hidden="1">
      <c r="B83" s="9">
        <v>70</v>
      </c>
      <c r="C83" s="21">
        <f>IF(n-SUM($F$14:F82)=0,999,n-SUM($F$14:F82))</f>
        <v>183</v>
      </c>
      <c r="D83" s="24">
        <f t="shared" si="1"/>
        <v>0.002320185614849188</v>
      </c>
      <c r="E83" s="29">
        <f>_XLL.VOSEBINOMIAL(C83,D83)</f>
        <v>1</v>
      </c>
      <c r="F83" s="10">
        <f>_XLL.VOSEOUTPUT(Model!B83,,"Bacteria in bottle",70)+IF(SUM($F$14:F82)&gt;=n,0,E83)</f>
        <v>1</v>
      </c>
    </row>
    <row r="84" spans="2:6" ht="12.75" hidden="1">
      <c r="B84" s="9">
        <v>71</v>
      </c>
      <c r="C84" s="21">
        <f>IF(n-SUM($F$14:F83)=0,999,n-SUM($F$14:F83))</f>
        <v>182</v>
      </c>
      <c r="D84" s="24">
        <f t="shared" si="1"/>
        <v>0.002325581395348837</v>
      </c>
      <c r="E84" s="29">
        <f>_XLL.VOSEBINOMIAL(C84,D84)</f>
        <v>1</v>
      </c>
      <c r="F84" s="10">
        <f>_XLL.VOSEOUTPUT(Model!B84,,"Bacteria in bottle",71)+IF(SUM($F$14:F83)&gt;=n,0,E84)</f>
        <v>1</v>
      </c>
    </row>
    <row r="85" spans="2:6" ht="12.75" hidden="1">
      <c r="B85" s="9">
        <v>72</v>
      </c>
      <c r="C85" s="21">
        <f>IF(n-SUM($F$14:F84)=0,999,n-SUM($F$14:F84))</f>
        <v>181</v>
      </c>
      <c r="D85" s="24">
        <f t="shared" si="1"/>
        <v>0.002331002331002331</v>
      </c>
      <c r="E85" s="29">
        <f>_XLL.VOSEBINOMIAL(C85,D85)</f>
        <v>1</v>
      </c>
      <c r="F85" s="10">
        <f>_XLL.VOSEOUTPUT(Model!B85,,"Bacteria in bottle",72)+IF(SUM($F$14:F84)&gt;=n,0,E85)</f>
        <v>1</v>
      </c>
    </row>
    <row r="86" spans="2:6" ht="12.75" hidden="1">
      <c r="B86" s="9">
        <v>73</v>
      </c>
      <c r="C86" s="21">
        <f>IF(n-SUM($F$14:F85)=0,999,n-SUM($F$14:F85))</f>
        <v>180</v>
      </c>
      <c r="D86" s="24">
        <f t="shared" si="1"/>
        <v>0.002336448598130841</v>
      </c>
      <c r="E86" s="29">
        <f>_XLL.VOSEBINOMIAL(C86,D86)</f>
        <v>1</v>
      </c>
      <c r="F86" s="10">
        <f>_XLL.VOSEOUTPUT(Model!B86,,"Bacteria in bottle",73)+IF(SUM($F$14:F85)&gt;=n,0,E86)</f>
        <v>1</v>
      </c>
    </row>
    <row r="87" spans="2:6" ht="12.75" hidden="1">
      <c r="B87" s="9">
        <v>74</v>
      </c>
      <c r="C87" s="21">
        <f>IF(n-SUM($F$14:F86)=0,999,n-SUM($F$14:F86))</f>
        <v>179</v>
      </c>
      <c r="D87" s="24">
        <f t="shared" si="1"/>
        <v>0.00234192037470726</v>
      </c>
      <c r="E87" s="29">
        <f>_XLL.VOSEBINOMIAL(C87,D87)</f>
        <v>0</v>
      </c>
      <c r="F87" s="10">
        <f>_XLL.VOSEOUTPUT(Model!B87,,"Bacteria in bottle",74)+IF(SUM($F$14:F86)&gt;=n,0,E87)</f>
        <v>0</v>
      </c>
    </row>
    <row r="88" spans="2:6" ht="12.75" hidden="1">
      <c r="B88" s="9">
        <v>75</v>
      </c>
      <c r="C88" s="21">
        <f>IF(n-SUM($F$14:F87)=0,999,n-SUM($F$14:F87))</f>
        <v>179</v>
      </c>
      <c r="D88" s="24">
        <f t="shared" si="1"/>
        <v>0.002347417840375587</v>
      </c>
      <c r="E88" s="29">
        <f>_XLL.VOSEBINOMIAL(C88,D88)</f>
        <v>1</v>
      </c>
      <c r="F88" s="10">
        <f>_XLL.VOSEOUTPUT(Model!B88,,"Bacteria in bottle",75)+IF(SUM($F$14:F87)&gt;=n,0,E88)</f>
        <v>1</v>
      </c>
    </row>
    <row r="89" spans="2:6" ht="12.75" hidden="1">
      <c r="B89" s="9">
        <v>76</v>
      </c>
      <c r="C89" s="21">
        <f>IF(n-SUM($F$14:F88)=0,999,n-SUM($F$14:F88))</f>
        <v>178</v>
      </c>
      <c r="D89" s="24">
        <f t="shared" si="1"/>
        <v>0.002352941176470588</v>
      </c>
      <c r="E89" s="29">
        <f>_XLL.VOSEBINOMIAL(C89,D89)</f>
        <v>2</v>
      </c>
      <c r="F89" s="10">
        <f>_XLL.VOSEOUTPUT(Model!B89,,"Bacteria in bottle",76)+IF(SUM($F$14:F88)&gt;=n,0,E89)</f>
        <v>2</v>
      </c>
    </row>
    <row r="90" spans="2:6" ht="12.75" hidden="1">
      <c r="B90" s="9">
        <v>77</v>
      </c>
      <c r="C90" s="21">
        <f>IF(n-SUM($F$14:F89)=0,999,n-SUM($F$14:F89))</f>
        <v>176</v>
      </c>
      <c r="D90" s="24">
        <f t="shared" si="1"/>
        <v>0.0023584905660377358</v>
      </c>
      <c r="E90" s="29">
        <f>_XLL.VOSEBINOMIAL(C90,D90)</f>
        <v>0</v>
      </c>
      <c r="F90" s="10">
        <f>_XLL.VOSEOUTPUT(Model!B90,,"Bacteria in bottle",77)+IF(SUM($F$14:F89)&gt;=n,0,E90)</f>
        <v>0</v>
      </c>
    </row>
    <row r="91" spans="2:6" ht="12.75" hidden="1">
      <c r="B91" s="9">
        <v>78</v>
      </c>
      <c r="C91" s="21">
        <f>IF(n-SUM($F$14:F90)=0,999,n-SUM($F$14:F90))</f>
        <v>176</v>
      </c>
      <c r="D91" s="24">
        <f t="shared" si="1"/>
        <v>0.002364066193853428</v>
      </c>
      <c r="E91" s="29">
        <f>_XLL.VOSEBINOMIAL(C91,D91)</f>
        <v>1</v>
      </c>
      <c r="F91" s="10">
        <f>_XLL.VOSEOUTPUT(Model!B91,,"Bacteria in bottle",78)+IF(SUM($F$14:F90)&gt;=n,0,E91)</f>
        <v>1</v>
      </c>
    </row>
    <row r="92" spans="2:6" ht="12.75" hidden="1">
      <c r="B92" s="9">
        <v>79</v>
      </c>
      <c r="C92" s="21">
        <f>IF(n-SUM($F$14:F91)=0,999,n-SUM($F$14:F91))</f>
        <v>175</v>
      </c>
      <c r="D92" s="24">
        <f t="shared" si="1"/>
        <v>0.002369668246445498</v>
      </c>
      <c r="E92" s="29">
        <f>_XLL.VOSEBINOMIAL(C92,D92)</f>
        <v>0</v>
      </c>
      <c r="F92" s="10">
        <f>_XLL.VOSEOUTPUT(Model!B92,,"Bacteria in bottle",79)+IF(SUM($F$14:F91)&gt;=n,0,E92)</f>
        <v>0</v>
      </c>
    </row>
    <row r="93" spans="2:6" ht="12.75" hidden="1">
      <c r="B93" s="9">
        <v>80</v>
      </c>
      <c r="C93" s="21">
        <f>IF(n-SUM($F$14:F92)=0,999,n-SUM($F$14:F92))</f>
        <v>175</v>
      </c>
      <c r="D93" s="24">
        <f t="shared" si="1"/>
        <v>0.0023752969121140144</v>
      </c>
      <c r="E93" s="29">
        <f>_XLL.VOSEBINOMIAL(C93,D93)</f>
        <v>2</v>
      </c>
      <c r="F93" s="10">
        <f>_XLL.VOSEOUTPUT(Model!B93,,"Bacteria in bottle",80)+IF(SUM($F$14:F92)&gt;=n,0,E93)</f>
        <v>2</v>
      </c>
    </row>
    <row r="94" spans="2:6" ht="12.75" hidden="1">
      <c r="B94" s="9">
        <v>81</v>
      </c>
      <c r="C94" s="21">
        <f>IF(n-SUM($F$14:F93)=0,999,n-SUM($F$14:F93))</f>
        <v>173</v>
      </c>
      <c r="D94" s="24">
        <f t="shared" si="1"/>
        <v>0.002380952380952381</v>
      </c>
      <c r="E94" s="29">
        <f>_XLL.VOSEBINOMIAL(C94,D94)</f>
        <v>0</v>
      </c>
      <c r="F94" s="10">
        <f>_XLL.VOSEOUTPUT(Model!B94,,"Bacteria in bottle",81)+IF(SUM($F$14:F93)&gt;=n,0,E94)</f>
        <v>0</v>
      </c>
    </row>
    <row r="95" spans="2:6" ht="12.75" hidden="1">
      <c r="B95" s="9">
        <v>82</v>
      </c>
      <c r="C95" s="21">
        <f>IF(n-SUM($F$14:F94)=0,999,n-SUM($F$14:F94))</f>
        <v>173</v>
      </c>
      <c r="D95" s="24">
        <f t="shared" si="1"/>
        <v>0.002386634844868735</v>
      </c>
      <c r="E95" s="29">
        <f>_XLL.VOSEBINOMIAL(C95,D95)</f>
        <v>1</v>
      </c>
      <c r="F95" s="10">
        <f>_XLL.VOSEOUTPUT(Model!B95,,"Bacteria in bottle",82)+IF(SUM($F$14:F94)&gt;=n,0,E95)</f>
        <v>1</v>
      </c>
    </row>
    <row r="96" spans="2:6" ht="12.75" hidden="1">
      <c r="B96" s="9">
        <v>83</v>
      </c>
      <c r="C96" s="21">
        <f>IF(n-SUM($F$14:F95)=0,999,n-SUM($F$14:F95))</f>
        <v>172</v>
      </c>
      <c r="D96" s="24">
        <f t="shared" si="1"/>
        <v>0.0023923444976076554</v>
      </c>
      <c r="E96" s="29">
        <f>_XLL.VOSEBINOMIAL(C96,D96)</f>
        <v>0</v>
      </c>
      <c r="F96" s="10">
        <f>_XLL.VOSEOUTPUT(Model!B96,,"Bacteria in bottle",83)+IF(SUM($F$14:F95)&gt;=n,0,E96)</f>
        <v>0</v>
      </c>
    </row>
    <row r="97" spans="2:6" ht="12.75" hidden="1">
      <c r="B97" s="9">
        <v>84</v>
      </c>
      <c r="C97" s="21">
        <f>IF(n-SUM($F$14:F96)=0,999,n-SUM($F$14:F96))</f>
        <v>172</v>
      </c>
      <c r="D97" s="24">
        <f t="shared" si="1"/>
        <v>0.002398081534772182</v>
      </c>
      <c r="E97" s="29">
        <f>_XLL.VOSEBINOMIAL(C97,D97)</f>
        <v>1</v>
      </c>
      <c r="F97" s="10">
        <f>_XLL.VOSEOUTPUT(Model!B97,,"Bacteria in bottle",84)+IF(SUM($F$14:F96)&gt;=n,0,E97)</f>
        <v>1</v>
      </c>
    </row>
    <row r="98" spans="2:6" ht="12.75" hidden="1">
      <c r="B98" s="9">
        <v>85</v>
      </c>
      <c r="C98" s="21">
        <f>IF(n-SUM($F$14:F97)=0,999,n-SUM($F$14:F97))</f>
        <v>171</v>
      </c>
      <c r="D98" s="24">
        <f t="shared" si="1"/>
        <v>0.002403846153846154</v>
      </c>
      <c r="E98" s="29">
        <f>_XLL.VOSEBINOMIAL(C98,D98)</f>
        <v>1</v>
      </c>
      <c r="F98" s="10">
        <f>_XLL.VOSEOUTPUT(Model!B98,,"Bacteria in bottle",85)+IF(SUM($F$14:F97)&gt;=n,0,E98)</f>
        <v>1</v>
      </c>
    </row>
    <row r="99" spans="2:6" ht="12.75" hidden="1">
      <c r="B99" s="9">
        <v>86</v>
      </c>
      <c r="C99" s="21">
        <f>IF(n-SUM($F$14:F98)=0,999,n-SUM($F$14:F98))</f>
        <v>170</v>
      </c>
      <c r="D99" s="24">
        <f t="shared" si="1"/>
        <v>0.0024096385542168677</v>
      </c>
      <c r="E99" s="29">
        <f>_XLL.VOSEBINOMIAL(C99,D99)</f>
        <v>0</v>
      </c>
      <c r="F99" s="10">
        <f>_XLL.VOSEOUTPUT(Model!B99,,"Bacteria in bottle",86)+IF(SUM($F$14:F98)&gt;=n,0,E99)</f>
        <v>0</v>
      </c>
    </row>
    <row r="100" spans="2:6" ht="12.75" hidden="1">
      <c r="B100" s="9">
        <v>87</v>
      </c>
      <c r="C100" s="21">
        <f>IF(n-SUM($F$14:F99)=0,999,n-SUM($F$14:F99))</f>
        <v>170</v>
      </c>
      <c r="D100" s="24">
        <f t="shared" si="1"/>
        <v>0.0024154589371980675</v>
      </c>
      <c r="E100" s="29">
        <f>_XLL.VOSEBINOMIAL(C100,D100)</f>
        <v>0</v>
      </c>
      <c r="F100" s="10">
        <f>_XLL.VOSEOUTPUT(Model!B100,,"Bacteria in bottle",87)+IF(SUM($F$14:F99)&gt;=n,0,E100)</f>
        <v>0</v>
      </c>
    </row>
    <row r="101" spans="2:6" ht="12.75" hidden="1">
      <c r="B101" s="9">
        <v>88</v>
      </c>
      <c r="C101" s="21">
        <f>IF(n-SUM($F$14:F100)=0,999,n-SUM($F$14:F100))</f>
        <v>170</v>
      </c>
      <c r="D101" s="24">
        <f t="shared" si="1"/>
        <v>0.002421307506053269</v>
      </c>
      <c r="E101" s="29">
        <f>_XLL.VOSEBINOMIAL(C101,D101)</f>
        <v>1</v>
      </c>
      <c r="F101" s="10">
        <f>_XLL.VOSEOUTPUT(Model!B101,,"Bacteria in bottle",88)+IF(SUM($F$14:F100)&gt;=n,0,E101)</f>
        <v>1</v>
      </c>
    </row>
    <row r="102" spans="2:6" ht="12.75" hidden="1">
      <c r="B102" s="9">
        <v>89</v>
      </c>
      <c r="C102" s="21">
        <f>IF(n-SUM($F$14:F101)=0,999,n-SUM($F$14:F101))</f>
        <v>169</v>
      </c>
      <c r="D102" s="24">
        <f t="shared" si="1"/>
        <v>0.0024271844660194173</v>
      </c>
      <c r="E102" s="29">
        <f>_XLL.VOSEBINOMIAL(C102,D102)</f>
        <v>0</v>
      </c>
      <c r="F102" s="10">
        <f>_XLL.VOSEOUTPUT(Model!B102,,"Bacteria in bottle",89)+IF(SUM($F$14:F101)&gt;=n,0,E102)</f>
        <v>0</v>
      </c>
    </row>
    <row r="103" spans="2:6" ht="12.75" hidden="1">
      <c r="B103" s="9">
        <v>90</v>
      </c>
      <c r="C103" s="21">
        <f>IF(n-SUM($F$14:F102)=0,999,n-SUM($F$14:F102))</f>
        <v>169</v>
      </c>
      <c r="D103" s="24">
        <f t="shared" si="1"/>
        <v>0.0024330900243309003</v>
      </c>
      <c r="E103" s="29">
        <f>_XLL.VOSEBINOMIAL(C103,D103)</f>
        <v>0</v>
      </c>
      <c r="F103" s="10">
        <f>_XLL.VOSEOUTPUT(Model!B103,,"Bacteria in bottle",90)+IF(SUM($F$14:F102)&gt;=n,0,E103)</f>
        <v>0</v>
      </c>
    </row>
    <row r="104" spans="2:6" ht="12.75" hidden="1">
      <c r="B104" s="9">
        <v>91</v>
      </c>
      <c r="C104" s="21">
        <f>IF(n-SUM($F$14:F103)=0,999,n-SUM($F$14:F103))</f>
        <v>169</v>
      </c>
      <c r="D104" s="24">
        <f t="shared" si="1"/>
        <v>0.0024390243902439024</v>
      </c>
      <c r="E104" s="29">
        <f>_XLL.VOSEBINOMIAL(C104,D104)</f>
        <v>0</v>
      </c>
      <c r="F104" s="10">
        <f>_XLL.VOSEOUTPUT(Model!B104,,"Bacteria in bottle",91)+IF(SUM($F$14:F103)&gt;=n,0,E104)</f>
        <v>0</v>
      </c>
    </row>
    <row r="105" spans="2:6" ht="12.75" hidden="1">
      <c r="B105" s="9">
        <v>92</v>
      </c>
      <c r="C105" s="21">
        <f>IF(n-SUM($F$14:F104)=0,999,n-SUM($F$14:F104))</f>
        <v>169</v>
      </c>
      <c r="D105" s="24">
        <f t="shared" si="1"/>
        <v>0.0024449877750611247</v>
      </c>
      <c r="E105" s="29">
        <f>_XLL.VOSEBINOMIAL(C105,D105)</f>
        <v>0</v>
      </c>
      <c r="F105" s="10">
        <f>_XLL.VOSEOUTPUT(Model!B105,,"Bacteria in bottle",92)+IF(SUM($F$14:F104)&gt;=n,0,E105)</f>
        <v>0</v>
      </c>
    </row>
    <row r="106" spans="2:6" ht="12.75" hidden="1">
      <c r="B106" s="9">
        <v>93</v>
      </c>
      <c r="C106" s="21">
        <f>IF(n-SUM($F$14:F105)=0,999,n-SUM($F$14:F105))</f>
        <v>169</v>
      </c>
      <c r="D106" s="24">
        <f t="shared" si="1"/>
        <v>0.0024509803921568627</v>
      </c>
      <c r="E106" s="29">
        <f>_XLL.VOSEBINOMIAL(C106,D106)</f>
        <v>0</v>
      </c>
      <c r="F106" s="10">
        <f>_XLL.VOSEOUTPUT(Model!B106,,"Bacteria in bottle",93)+IF(SUM($F$14:F105)&gt;=n,0,E106)</f>
        <v>0</v>
      </c>
    </row>
    <row r="107" spans="2:6" ht="12.75" hidden="1">
      <c r="B107" s="9">
        <v>94</v>
      </c>
      <c r="C107" s="21">
        <f>IF(n-SUM($F$14:F106)=0,999,n-SUM($F$14:F106))</f>
        <v>169</v>
      </c>
      <c r="D107" s="24">
        <f t="shared" si="1"/>
        <v>0.002457002457002457</v>
      </c>
      <c r="E107" s="29">
        <f>_XLL.VOSEBINOMIAL(C107,D107)</f>
        <v>0</v>
      </c>
      <c r="F107" s="10">
        <f>_XLL.VOSEOUTPUT(Model!B107,,"Bacteria in bottle",94)+IF(SUM($F$14:F106)&gt;=n,0,E107)</f>
        <v>0</v>
      </c>
    </row>
    <row r="108" spans="2:6" ht="12.75" hidden="1">
      <c r="B108" s="9">
        <v>95</v>
      </c>
      <c r="C108" s="21">
        <f>IF(n-SUM($F$14:F107)=0,999,n-SUM($F$14:F107))</f>
        <v>169</v>
      </c>
      <c r="D108" s="24">
        <f t="shared" si="1"/>
        <v>0.0024630541871921183</v>
      </c>
      <c r="E108" s="29">
        <f>_XLL.VOSEBINOMIAL(C108,D108)</f>
        <v>1</v>
      </c>
      <c r="F108" s="10">
        <f>_XLL.VOSEOUTPUT(Model!B108,,"Bacteria in bottle",95)+IF(SUM($F$14:F107)&gt;=n,0,E108)</f>
        <v>1</v>
      </c>
    </row>
    <row r="109" spans="2:6" ht="12.75" hidden="1">
      <c r="B109" s="9">
        <v>96</v>
      </c>
      <c r="C109" s="21">
        <f>IF(n-SUM($F$14:F108)=0,999,n-SUM($F$14:F108))</f>
        <v>168</v>
      </c>
      <c r="D109" s="24">
        <f t="shared" si="1"/>
        <v>0.0024691358024691358</v>
      </c>
      <c r="E109" s="29">
        <f>_XLL.VOSEBINOMIAL(C109,D109)</f>
        <v>0</v>
      </c>
      <c r="F109" s="10">
        <f>_XLL.VOSEOUTPUT(Model!B109,,"Bacteria in bottle",96)+IF(SUM($F$14:F108)&gt;=n,0,E109)</f>
        <v>0</v>
      </c>
    </row>
    <row r="110" spans="2:6" ht="12.75" hidden="1">
      <c r="B110" s="9">
        <v>97</v>
      </c>
      <c r="C110" s="21">
        <f>IF(n-SUM($F$14:F109)=0,999,n-SUM($F$14:F109))</f>
        <v>168</v>
      </c>
      <c r="D110" s="24">
        <f t="shared" si="1"/>
        <v>0.0024752475247524753</v>
      </c>
      <c r="E110" s="29">
        <f>_XLL.VOSEBINOMIAL(C110,D110)</f>
        <v>1</v>
      </c>
      <c r="F110" s="10">
        <f>_XLL.VOSEOUTPUT(Model!B110,,"Bacteria in bottle",97)+IF(SUM($F$14:F109)&gt;=n,0,E110)</f>
        <v>1</v>
      </c>
    </row>
    <row r="111" spans="2:6" ht="12.75" hidden="1">
      <c r="B111" s="9">
        <v>98</v>
      </c>
      <c r="C111" s="21">
        <f>IF(n-SUM($F$14:F110)=0,999,n-SUM($F$14:F110))</f>
        <v>167</v>
      </c>
      <c r="D111" s="24">
        <f t="shared" si="1"/>
        <v>0.0024813895781637717</v>
      </c>
      <c r="E111" s="29">
        <f>_XLL.VOSEBINOMIAL(C111,D111)</f>
        <v>0</v>
      </c>
      <c r="F111" s="10">
        <f>_XLL.VOSEOUTPUT(Model!B111,,"Bacteria in bottle",98)+IF(SUM($F$14:F110)&gt;=n,0,E111)</f>
        <v>0</v>
      </c>
    </row>
    <row r="112" spans="2:6" ht="12.75" hidden="1">
      <c r="B112" s="9">
        <v>99</v>
      </c>
      <c r="C112" s="21">
        <f>IF(n-SUM($F$14:F111)=0,999,n-SUM($F$14:F111))</f>
        <v>167</v>
      </c>
      <c r="D112" s="24">
        <f t="shared" si="1"/>
        <v>0.0024875621890547263</v>
      </c>
      <c r="E112" s="29">
        <f>_XLL.VOSEBINOMIAL(C112,D112)</f>
        <v>2</v>
      </c>
      <c r="F112" s="10">
        <f>_XLL.VOSEOUTPUT(Model!B112,,"Bacteria in bottle",99)+IF(SUM($F$14:F111)&gt;=n,0,E112)</f>
        <v>2</v>
      </c>
    </row>
    <row r="113" spans="2:6" ht="12.75" hidden="1">
      <c r="B113" s="9">
        <v>100</v>
      </c>
      <c r="C113" s="21">
        <f>IF(n-SUM($F$14:F112)=0,999,n-SUM($F$14:F112))</f>
        <v>165</v>
      </c>
      <c r="D113" s="24">
        <f t="shared" si="1"/>
        <v>0.0024937655860349127</v>
      </c>
      <c r="E113" s="29">
        <f>_XLL.VOSEBINOMIAL(C113,D113)</f>
        <v>0</v>
      </c>
      <c r="F113" s="10">
        <f>_XLL.VOSEOUTPUT(Model!B113,,"Bacteria in bottle",100)+IF(SUM($F$14:F112)&gt;=n,0,E113)</f>
        <v>0</v>
      </c>
    </row>
    <row r="114" spans="2:6" ht="12.75" hidden="1">
      <c r="B114" s="9">
        <v>101</v>
      </c>
      <c r="C114" s="21">
        <f>IF(n-SUM($F$14:F113)=0,999,n-SUM($F$14:F113))</f>
        <v>165</v>
      </c>
      <c r="D114" s="24">
        <f t="shared" si="1"/>
        <v>0.0025</v>
      </c>
      <c r="E114" s="29">
        <f>_XLL.VOSEBINOMIAL(C114,D114)</f>
        <v>0</v>
      </c>
      <c r="F114" s="10">
        <f>_XLL.VOSEOUTPUT(Model!B114,,"Bacteria in bottle",101)+IF(SUM($F$14:F113)&gt;=n,0,E114)</f>
        <v>0</v>
      </c>
    </row>
    <row r="115" spans="2:6" ht="12.75" hidden="1">
      <c r="B115" s="9">
        <v>102</v>
      </c>
      <c r="C115" s="21">
        <f>IF(n-SUM($F$14:F114)=0,999,n-SUM($F$14:F114))</f>
        <v>165</v>
      </c>
      <c r="D115" s="24">
        <f t="shared" si="1"/>
        <v>0.002506265664160401</v>
      </c>
      <c r="E115" s="29">
        <f>_XLL.VOSEBINOMIAL(C115,D115)</f>
        <v>1</v>
      </c>
      <c r="F115" s="10">
        <f>_XLL.VOSEOUTPUT(Model!B115,,"Bacteria in bottle",102)+IF(SUM($F$14:F114)&gt;=n,0,E115)</f>
        <v>1</v>
      </c>
    </row>
    <row r="116" spans="2:6" ht="12.75" hidden="1">
      <c r="B116" s="9">
        <v>103</v>
      </c>
      <c r="C116" s="21">
        <f>IF(n-SUM($F$14:F115)=0,999,n-SUM($F$14:F115))</f>
        <v>164</v>
      </c>
      <c r="D116" s="24">
        <f t="shared" si="1"/>
        <v>0.002512562814070352</v>
      </c>
      <c r="E116" s="29">
        <f>_XLL.VOSEBINOMIAL(C116,D116)</f>
        <v>0</v>
      </c>
      <c r="F116" s="10">
        <f>_XLL.VOSEOUTPUT(Model!B116,,"Bacteria in bottle",103)+IF(SUM($F$14:F115)&gt;=n,0,E116)</f>
        <v>0</v>
      </c>
    </row>
    <row r="117" spans="2:6" ht="12.75" hidden="1">
      <c r="B117" s="9">
        <v>104</v>
      </c>
      <c r="C117" s="21">
        <f>IF(n-SUM($F$14:F116)=0,999,n-SUM($F$14:F116))</f>
        <v>164</v>
      </c>
      <c r="D117" s="24">
        <f t="shared" si="1"/>
        <v>0.0025188916876574307</v>
      </c>
      <c r="E117" s="29">
        <f>_XLL.VOSEBINOMIAL(C117,D117)</f>
        <v>0</v>
      </c>
      <c r="F117" s="10">
        <f>_XLL.VOSEOUTPUT(Model!B117,,"Bacteria in bottle",104)+IF(SUM($F$14:F116)&gt;=n,0,E117)</f>
        <v>0</v>
      </c>
    </row>
    <row r="118" spans="2:6" ht="12.75" hidden="1">
      <c r="B118" s="9">
        <v>105</v>
      </c>
      <c r="C118" s="21">
        <f>IF(n-SUM($F$14:F117)=0,999,n-SUM($F$14:F117))</f>
        <v>164</v>
      </c>
      <c r="D118" s="24">
        <f t="shared" si="1"/>
        <v>0.0025252525252525255</v>
      </c>
      <c r="E118" s="29">
        <f>_XLL.VOSEBINOMIAL(C118,D118)</f>
        <v>0</v>
      </c>
      <c r="F118" s="10">
        <f>_XLL.VOSEOUTPUT(Model!B118,,"Bacteria in bottle",105)+IF(SUM($F$14:F117)&gt;=n,0,E118)</f>
        <v>0</v>
      </c>
    </row>
    <row r="119" spans="2:6" ht="12.75" hidden="1">
      <c r="B119" s="9">
        <v>106</v>
      </c>
      <c r="C119" s="21">
        <f>IF(n-SUM($F$14:F118)=0,999,n-SUM($F$14:F118))</f>
        <v>164</v>
      </c>
      <c r="D119" s="24">
        <f t="shared" si="1"/>
        <v>0.002531645569620253</v>
      </c>
      <c r="E119" s="29">
        <f>_XLL.VOSEBINOMIAL(C119,D119)</f>
        <v>0</v>
      </c>
      <c r="F119" s="10">
        <f>_XLL.VOSEOUTPUT(Model!B119,,"Bacteria in bottle",106)+IF(SUM($F$14:F118)&gt;=n,0,E119)</f>
        <v>0</v>
      </c>
    </row>
    <row r="120" spans="2:6" ht="12.75" hidden="1">
      <c r="B120" s="9">
        <v>107</v>
      </c>
      <c r="C120" s="21">
        <f>IF(n-SUM($F$14:F119)=0,999,n-SUM($F$14:F119))</f>
        <v>164</v>
      </c>
      <c r="D120" s="24">
        <f t="shared" si="1"/>
        <v>0.0025380710659898475</v>
      </c>
      <c r="E120" s="29">
        <f>_XLL.VOSEBINOMIAL(C120,D120)</f>
        <v>0</v>
      </c>
      <c r="F120" s="10">
        <f>_XLL.VOSEOUTPUT(Model!B120,,"Bacteria in bottle",107)+IF(SUM($F$14:F119)&gt;=n,0,E120)</f>
        <v>0</v>
      </c>
    </row>
    <row r="121" spans="2:6" ht="12.75" hidden="1">
      <c r="B121" s="9">
        <v>108</v>
      </c>
      <c r="C121" s="21">
        <f>IF(n-SUM($F$14:F120)=0,999,n-SUM($F$14:F120))</f>
        <v>164</v>
      </c>
      <c r="D121" s="24">
        <f t="shared" si="1"/>
        <v>0.002544529262086514</v>
      </c>
      <c r="E121" s="29">
        <f>_XLL.VOSEBINOMIAL(C121,D121)</f>
        <v>1</v>
      </c>
      <c r="F121" s="10">
        <f>_XLL.VOSEOUTPUT(Model!B121,,"Bacteria in bottle",108)+IF(SUM($F$14:F120)&gt;=n,0,E121)</f>
        <v>1</v>
      </c>
    </row>
    <row r="122" spans="2:6" ht="12.75" hidden="1">
      <c r="B122" s="9">
        <v>109</v>
      </c>
      <c r="C122" s="21">
        <f>IF(n-SUM($F$14:F121)=0,999,n-SUM($F$14:F121))</f>
        <v>163</v>
      </c>
      <c r="D122" s="24">
        <f t="shared" si="1"/>
        <v>0.002551020408163265</v>
      </c>
      <c r="E122" s="29">
        <f>_XLL.VOSEBINOMIAL(C122,D122)</f>
        <v>0</v>
      </c>
      <c r="F122" s="10">
        <f>_XLL.VOSEOUTPUT(Model!B122,,"Bacteria in bottle",109)+IF(SUM($F$14:F121)&gt;=n,0,E122)</f>
        <v>0</v>
      </c>
    </row>
    <row r="123" spans="2:6" ht="12.75" hidden="1">
      <c r="B123" s="9">
        <v>110</v>
      </c>
      <c r="C123" s="21">
        <f>IF(n-SUM($F$14:F122)=0,999,n-SUM($F$14:F122))</f>
        <v>163</v>
      </c>
      <c r="D123" s="24">
        <f t="shared" si="1"/>
        <v>0.0025575447570332483</v>
      </c>
      <c r="E123" s="29">
        <f>_XLL.VOSEBINOMIAL(C123,D123)</f>
        <v>0</v>
      </c>
      <c r="F123" s="10">
        <f>_XLL.VOSEOUTPUT(Model!B123,,"Bacteria in bottle",110)+IF(SUM($F$14:F122)&gt;=n,0,E123)</f>
        <v>0</v>
      </c>
    </row>
    <row r="124" spans="2:6" ht="12.75" hidden="1">
      <c r="B124" s="9">
        <v>111</v>
      </c>
      <c r="C124" s="21">
        <f>IF(n-SUM($F$14:F123)=0,999,n-SUM($F$14:F123))</f>
        <v>163</v>
      </c>
      <c r="D124" s="24">
        <f t="shared" si="1"/>
        <v>0.002564102564102564</v>
      </c>
      <c r="E124" s="29">
        <f>_XLL.VOSEBINOMIAL(C124,D124)</f>
        <v>1</v>
      </c>
      <c r="F124" s="10">
        <f>_XLL.VOSEOUTPUT(Model!B124,,"Bacteria in bottle",111)+IF(SUM($F$14:F123)&gt;=n,0,E124)</f>
        <v>1</v>
      </c>
    </row>
    <row r="125" spans="2:6" ht="12.75" hidden="1">
      <c r="B125" s="9">
        <v>112</v>
      </c>
      <c r="C125" s="21">
        <f>IF(n-SUM($F$14:F124)=0,999,n-SUM($F$14:F124))</f>
        <v>162</v>
      </c>
      <c r="D125" s="24">
        <f t="shared" si="1"/>
        <v>0.002570694087403599</v>
      </c>
      <c r="E125" s="29">
        <f>_XLL.VOSEBINOMIAL(C125,D125)</f>
        <v>1</v>
      </c>
      <c r="F125" s="10">
        <f>_XLL.VOSEOUTPUT(Model!B125,,"Bacteria in bottle",112)+IF(SUM($F$14:F124)&gt;=n,0,E125)</f>
        <v>1</v>
      </c>
    </row>
    <row r="126" spans="2:6" ht="12.75" hidden="1">
      <c r="B126" s="9">
        <v>113</v>
      </c>
      <c r="C126" s="21">
        <f>IF(n-SUM($F$14:F125)=0,999,n-SUM($F$14:F125))</f>
        <v>161</v>
      </c>
      <c r="D126" s="24">
        <f t="shared" si="1"/>
        <v>0.002577319587628866</v>
      </c>
      <c r="E126" s="29">
        <f>_XLL.VOSEBINOMIAL(C126,D126)</f>
        <v>1</v>
      </c>
      <c r="F126" s="10">
        <f>_XLL.VOSEOUTPUT(Model!B126,,"Bacteria in bottle",113)+IF(SUM($F$14:F125)&gt;=n,0,E126)</f>
        <v>1</v>
      </c>
    </row>
    <row r="127" spans="2:6" ht="12.75" hidden="1">
      <c r="B127" s="9">
        <v>114</v>
      </c>
      <c r="C127" s="21">
        <f>IF(n-SUM($F$14:F126)=0,999,n-SUM($F$14:F126))</f>
        <v>160</v>
      </c>
      <c r="D127" s="24">
        <f t="shared" si="1"/>
        <v>0.002583979328165375</v>
      </c>
      <c r="E127" s="29">
        <f>_XLL.VOSEBINOMIAL(C127,D127)</f>
        <v>0</v>
      </c>
      <c r="F127" s="10">
        <f>_XLL.VOSEOUTPUT(Model!B127,,"Bacteria in bottle",114)+IF(SUM($F$14:F126)&gt;=n,0,E127)</f>
        <v>0</v>
      </c>
    </row>
    <row r="128" spans="2:6" ht="12.75" hidden="1">
      <c r="B128" s="9">
        <v>115</v>
      </c>
      <c r="C128" s="21">
        <f>IF(n-SUM($F$14:F127)=0,999,n-SUM($F$14:F127))</f>
        <v>160</v>
      </c>
      <c r="D128" s="24">
        <f t="shared" si="1"/>
        <v>0.0025906735751295338</v>
      </c>
      <c r="E128" s="29">
        <f>_XLL.VOSEBINOMIAL(C128,D128)</f>
        <v>0</v>
      </c>
      <c r="F128" s="10">
        <f>_XLL.VOSEOUTPUT(Model!B128,,"Bacteria in bottle",115)+IF(SUM($F$14:F127)&gt;=n,0,E128)</f>
        <v>0</v>
      </c>
    </row>
    <row r="129" spans="2:6" ht="12.75" hidden="1">
      <c r="B129" s="9">
        <v>116</v>
      </c>
      <c r="C129" s="21">
        <f>IF(n-SUM($F$14:F128)=0,999,n-SUM($F$14:F128))</f>
        <v>160</v>
      </c>
      <c r="D129" s="24">
        <f t="shared" si="1"/>
        <v>0.0025974025974025974</v>
      </c>
      <c r="E129" s="29">
        <f>_XLL.VOSEBINOMIAL(C129,D129)</f>
        <v>0</v>
      </c>
      <c r="F129" s="10">
        <f>_XLL.VOSEOUTPUT(Model!B129,,"Bacteria in bottle",116)+IF(SUM($F$14:F128)&gt;=n,0,E129)</f>
        <v>0</v>
      </c>
    </row>
    <row r="130" spans="2:6" ht="12.75" hidden="1">
      <c r="B130" s="9">
        <v>117</v>
      </c>
      <c r="C130" s="21">
        <f>IF(n-SUM($F$14:F129)=0,999,n-SUM($F$14:F129))</f>
        <v>160</v>
      </c>
      <c r="D130" s="24">
        <f t="shared" si="1"/>
        <v>0.0026041666666666665</v>
      </c>
      <c r="E130" s="29">
        <f>_XLL.VOSEBINOMIAL(C130,D130)</f>
        <v>0</v>
      </c>
      <c r="F130" s="10">
        <f>_XLL.VOSEOUTPUT(Model!B130,,"Bacteria in bottle",117)+IF(SUM($F$14:F129)&gt;=n,0,E130)</f>
        <v>0</v>
      </c>
    </row>
    <row r="131" spans="2:6" ht="12.75" hidden="1">
      <c r="B131" s="9">
        <v>118</v>
      </c>
      <c r="C131" s="21">
        <f>IF(n-SUM($F$14:F130)=0,999,n-SUM($F$14:F130))</f>
        <v>160</v>
      </c>
      <c r="D131" s="24">
        <f t="shared" si="1"/>
        <v>0.0026109660574412533</v>
      </c>
      <c r="E131" s="29">
        <f>_XLL.VOSEBINOMIAL(C131,D131)</f>
        <v>0</v>
      </c>
      <c r="F131" s="10">
        <f>_XLL.VOSEOUTPUT(Model!B131,,"Bacteria in bottle",118)+IF(SUM($F$14:F130)&gt;=n,0,E131)</f>
        <v>0</v>
      </c>
    </row>
    <row r="132" spans="2:6" ht="12.75" hidden="1">
      <c r="B132" s="9">
        <v>119</v>
      </c>
      <c r="C132" s="21">
        <f>IF(n-SUM($F$14:F131)=0,999,n-SUM($F$14:F131))</f>
        <v>160</v>
      </c>
      <c r="D132" s="24">
        <f t="shared" si="1"/>
        <v>0.002617801047120419</v>
      </c>
      <c r="E132" s="29">
        <f>_XLL.VOSEBINOMIAL(C132,D132)</f>
        <v>2</v>
      </c>
      <c r="F132" s="10">
        <f>_XLL.VOSEOUTPUT(Model!B132,,"Bacteria in bottle",119)+IF(SUM($F$14:F131)&gt;=n,0,E132)</f>
        <v>2</v>
      </c>
    </row>
    <row r="133" spans="2:6" ht="12.75" hidden="1">
      <c r="B133" s="9">
        <v>120</v>
      </c>
      <c r="C133" s="21">
        <f>IF(n-SUM($F$14:F132)=0,999,n-SUM($F$14:F132))</f>
        <v>158</v>
      </c>
      <c r="D133" s="24">
        <f t="shared" si="1"/>
        <v>0.0026246719160104987</v>
      </c>
      <c r="E133" s="29">
        <f>_XLL.VOSEBINOMIAL(C133,D133)</f>
        <v>0</v>
      </c>
      <c r="F133" s="10">
        <f>_XLL.VOSEOUTPUT(Model!B133,,"Bacteria in bottle",120)+IF(SUM($F$14:F132)&gt;=n,0,E133)</f>
        <v>0</v>
      </c>
    </row>
    <row r="134" spans="2:6" ht="12.75" hidden="1">
      <c r="B134" s="9">
        <v>121</v>
      </c>
      <c r="C134" s="21">
        <f>IF(n-SUM($F$14:F133)=0,999,n-SUM($F$14:F133))</f>
        <v>158</v>
      </c>
      <c r="D134" s="24">
        <f t="shared" si="1"/>
        <v>0.002631578947368421</v>
      </c>
      <c r="E134" s="29">
        <f>_XLL.VOSEBINOMIAL(C134,D134)</f>
        <v>0</v>
      </c>
      <c r="F134" s="10">
        <f>_XLL.VOSEOUTPUT(Model!B134,,"Bacteria in bottle",121)+IF(SUM($F$14:F133)&gt;=n,0,E134)</f>
        <v>0</v>
      </c>
    </row>
    <row r="135" spans="2:6" ht="12.75" hidden="1">
      <c r="B135" s="9">
        <v>122</v>
      </c>
      <c r="C135" s="21">
        <f>IF(n-SUM($F$14:F134)=0,999,n-SUM($F$14:F134))</f>
        <v>158</v>
      </c>
      <c r="D135" s="24">
        <f t="shared" si="1"/>
        <v>0.002638522427440633</v>
      </c>
      <c r="E135" s="29">
        <f>_XLL.VOSEBINOMIAL(C135,D135)</f>
        <v>1</v>
      </c>
      <c r="F135" s="10">
        <f>_XLL.VOSEOUTPUT(Model!B135,,"Bacteria in bottle",122)+IF(SUM($F$14:F134)&gt;=n,0,E135)</f>
        <v>1</v>
      </c>
    </row>
    <row r="136" spans="2:6" ht="12.75" hidden="1">
      <c r="B136" s="9">
        <v>123</v>
      </c>
      <c r="C136" s="21">
        <f>IF(n-SUM($F$14:F135)=0,999,n-SUM($F$14:F135))</f>
        <v>157</v>
      </c>
      <c r="D136" s="24">
        <f t="shared" si="1"/>
        <v>0.0026455026455026454</v>
      </c>
      <c r="E136" s="29">
        <f>_XLL.VOSEBINOMIAL(C136,D136)</f>
        <v>0</v>
      </c>
      <c r="F136" s="10">
        <f>_XLL.VOSEOUTPUT(Model!B136,,"Bacteria in bottle",123)+IF(SUM($F$14:F135)&gt;=n,0,E136)</f>
        <v>0</v>
      </c>
    </row>
    <row r="137" spans="2:6" ht="12.75" hidden="1">
      <c r="B137" s="9">
        <v>124</v>
      </c>
      <c r="C137" s="21">
        <f>IF(n-SUM($F$14:F136)=0,999,n-SUM($F$14:F136))</f>
        <v>157</v>
      </c>
      <c r="D137" s="24">
        <f t="shared" si="1"/>
        <v>0.002652519893899204</v>
      </c>
      <c r="E137" s="29">
        <f>_XLL.VOSEBINOMIAL(C137,D137)</f>
        <v>0</v>
      </c>
      <c r="F137" s="10">
        <f>_XLL.VOSEOUTPUT(Model!B137,,"Bacteria in bottle",124)+IF(SUM($F$14:F136)&gt;=n,0,E137)</f>
        <v>0</v>
      </c>
    </row>
    <row r="138" spans="2:6" ht="12.75" hidden="1">
      <c r="B138" s="9">
        <v>125</v>
      </c>
      <c r="C138" s="21">
        <f>IF(n-SUM($F$14:F137)=0,999,n-SUM($F$14:F137))</f>
        <v>157</v>
      </c>
      <c r="D138" s="24">
        <f t="shared" si="1"/>
        <v>0.0026595744680851063</v>
      </c>
      <c r="E138" s="29">
        <f>_XLL.VOSEBINOMIAL(C138,D138)</f>
        <v>0</v>
      </c>
      <c r="F138" s="10">
        <f>_XLL.VOSEOUTPUT(Model!B138,,"Bacteria in bottle",125)+IF(SUM($F$14:F137)&gt;=n,0,E138)</f>
        <v>0</v>
      </c>
    </row>
    <row r="139" spans="2:6" ht="12.75" hidden="1">
      <c r="B139" s="9">
        <v>126</v>
      </c>
      <c r="C139" s="21">
        <f>IF(n-SUM($F$14:F138)=0,999,n-SUM($F$14:F138))</f>
        <v>157</v>
      </c>
      <c r="D139" s="24">
        <f t="shared" si="1"/>
        <v>0.0026666666666666666</v>
      </c>
      <c r="E139" s="29">
        <f>_XLL.VOSEBINOMIAL(C139,D139)</f>
        <v>0</v>
      </c>
      <c r="F139" s="10">
        <f>_XLL.VOSEOUTPUT(Model!B139,,"Bacteria in bottle",126)+IF(SUM($F$14:F138)&gt;=n,0,E139)</f>
        <v>0</v>
      </c>
    </row>
    <row r="140" spans="2:6" ht="12.75" hidden="1">
      <c r="B140" s="9">
        <v>127</v>
      </c>
      <c r="C140" s="21">
        <f>IF(n-SUM($F$14:F139)=0,999,n-SUM($F$14:F139))</f>
        <v>157</v>
      </c>
      <c r="D140" s="24">
        <f t="shared" si="1"/>
        <v>0.00267379679144385</v>
      </c>
      <c r="E140" s="29">
        <f>_XLL.VOSEBINOMIAL(C140,D140)</f>
        <v>0</v>
      </c>
      <c r="F140" s="10">
        <f>_XLL.VOSEOUTPUT(Model!B140,,"Bacteria in bottle",127)+IF(SUM($F$14:F139)&gt;=n,0,E140)</f>
        <v>0</v>
      </c>
    </row>
    <row r="141" spans="2:6" ht="12.75" hidden="1">
      <c r="B141" s="9">
        <v>128</v>
      </c>
      <c r="C141" s="21">
        <f>IF(n-SUM($F$14:F140)=0,999,n-SUM($F$14:F140))</f>
        <v>157</v>
      </c>
      <c r="D141" s="24">
        <f t="shared" si="1"/>
        <v>0.002680965147453083</v>
      </c>
      <c r="E141" s="29">
        <f>_XLL.VOSEBINOMIAL(C141,D141)</f>
        <v>0</v>
      </c>
      <c r="F141" s="10">
        <f>_XLL.VOSEOUTPUT(Model!B141,,"Bacteria in bottle",128)+IF(SUM($F$14:F140)&gt;=n,0,E141)</f>
        <v>0</v>
      </c>
    </row>
    <row r="142" spans="2:6" ht="12.75" hidden="1">
      <c r="B142" s="9">
        <v>129</v>
      </c>
      <c r="C142" s="21">
        <f>IF(n-SUM($F$14:F141)=0,999,n-SUM($F$14:F141))</f>
        <v>157</v>
      </c>
      <c r="D142" s="24">
        <f t="shared" si="1"/>
        <v>0.002688172043010753</v>
      </c>
      <c r="E142" s="29">
        <f>_XLL.VOSEBINOMIAL(C142,D142)</f>
        <v>0</v>
      </c>
      <c r="F142" s="10">
        <f>_XLL.VOSEOUTPUT(Model!B142,,"Bacteria in bottle",129)+IF(SUM($F$14:F141)&gt;=n,0,E142)</f>
        <v>0</v>
      </c>
    </row>
    <row r="143" spans="2:6" ht="12.75" hidden="1">
      <c r="B143" s="9">
        <v>130</v>
      </c>
      <c r="C143" s="21">
        <f>IF(n-SUM($F$14:F142)=0,999,n-SUM($F$14:F142))</f>
        <v>157</v>
      </c>
      <c r="D143" s="24">
        <f aca="true" t="shared" si="2" ref="D143:D206">B/(V-B142*B)</f>
        <v>0.0026954177897574125</v>
      </c>
      <c r="E143" s="29">
        <f>_XLL.VOSEBINOMIAL(C143,D143)</f>
        <v>0</v>
      </c>
      <c r="F143" s="10">
        <f>_XLL.VOSEOUTPUT(Model!B143,,"Bacteria in bottle",130)+IF(SUM($F$14:F142)&gt;=n,0,E143)</f>
        <v>0</v>
      </c>
    </row>
    <row r="144" spans="2:6" ht="12.75" hidden="1">
      <c r="B144" s="9">
        <v>131</v>
      </c>
      <c r="C144" s="21">
        <f>IF(n-SUM($F$14:F143)=0,999,n-SUM($F$14:F143))</f>
        <v>157</v>
      </c>
      <c r="D144" s="24">
        <f t="shared" si="2"/>
        <v>0.002702702702702703</v>
      </c>
      <c r="E144" s="29">
        <f>_XLL.VOSEBINOMIAL(C144,D144)</f>
        <v>1</v>
      </c>
      <c r="F144" s="10">
        <f>_XLL.VOSEOUTPUT(Model!B144,,"Bacteria in bottle",131)+IF(SUM($F$14:F143)&gt;=n,0,E144)</f>
        <v>1</v>
      </c>
    </row>
    <row r="145" spans="2:6" ht="12.75" hidden="1">
      <c r="B145" s="9">
        <v>132</v>
      </c>
      <c r="C145" s="21">
        <f>IF(n-SUM($F$14:F144)=0,999,n-SUM($F$14:F144))</f>
        <v>156</v>
      </c>
      <c r="D145" s="24">
        <f t="shared" si="2"/>
        <v>0.0027100271002710027</v>
      </c>
      <c r="E145" s="29">
        <f>_XLL.VOSEBINOMIAL(C145,D145)</f>
        <v>0</v>
      </c>
      <c r="F145" s="10">
        <f>_XLL.VOSEOUTPUT(Model!B145,,"Bacteria in bottle",132)+IF(SUM($F$14:F144)&gt;=n,0,E145)</f>
        <v>0</v>
      </c>
    </row>
    <row r="146" spans="2:6" ht="12.75" hidden="1">
      <c r="B146" s="9">
        <v>133</v>
      </c>
      <c r="C146" s="21">
        <f>IF(n-SUM($F$14:F145)=0,999,n-SUM($F$14:F145))</f>
        <v>156</v>
      </c>
      <c r="D146" s="24">
        <f t="shared" si="2"/>
        <v>0.002717391304347826</v>
      </c>
      <c r="E146" s="29">
        <f>_XLL.VOSEBINOMIAL(C146,D146)</f>
        <v>0</v>
      </c>
      <c r="F146" s="10">
        <f>_XLL.VOSEOUTPUT(Model!B146,,"Bacteria in bottle",133)+IF(SUM($F$14:F145)&gt;=n,0,E146)</f>
        <v>0</v>
      </c>
    </row>
    <row r="147" spans="2:6" ht="12.75" hidden="1">
      <c r="B147" s="9">
        <v>134</v>
      </c>
      <c r="C147" s="21">
        <f>IF(n-SUM($F$14:F146)=0,999,n-SUM($F$14:F146))</f>
        <v>156</v>
      </c>
      <c r="D147" s="24">
        <f t="shared" si="2"/>
        <v>0.0027247956403269754</v>
      </c>
      <c r="E147" s="29">
        <f>_XLL.VOSEBINOMIAL(C147,D147)</f>
        <v>0</v>
      </c>
      <c r="F147" s="10">
        <f>_XLL.VOSEOUTPUT(Model!B147,,"Bacteria in bottle",134)+IF(SUM($F$14:F146)&gt;=n,0,E147)</f>
        <v>0</v>
      </c>
    </row>
    <row r="148" spans="2:6" ht="12.75" hidden="1">
      <c r="B148" s="9">
        <v>135</v>
      </c>
      <c r="C148" s="21">
        <f>IF(n-SUM($F$14:F147)=0,999,n-SUM($F$14:F147))</f>
        <v>156</v>
      </c>
      <c r="D148" s="24">
        <f t="shared" si="2"/>
        <v>0.00273224043715847</v>
      </c>
      <c r="E148" s="29">
        <f>_XLL.VOSEBINOMIAL(C148,D148)</f>
        <v>0</v>
      </c>
      <c r="F148" s="10">
        <f>_XLL.VOSEOUTPUT(Model!B148,,"Bacteria in bottle",135)+IF(SUM($F$14:F147)&gt;=n,0,E148)</f>
        <v>0</v>
      </c>
    </row>
    <row r="149" spans="2:6" ht="12.75" hidden="1">
      <c r="B149" s="9">
        <v>136</v>
      </c>
      <c r="C149" s="21">
        <f>IF(n-SUM($F$14:F148)=0,999,n-SUM($F$14:F148))</f>
        <v>156</v>
      </c>
      <c r="D149" s="24">
        <f t="shared" si="2"/>
        <v>0.0027397260273972603</v>
      </c>
      <c r="E149" s="29">
        <f>_XLL.VOSEBINOMIAL(C149,D149)</f>
        <v>0</v>
      </c>
      <c r="F149" s="10">
        <f>_XLL.VOSEOUTPUT(Model!B149,,"Bacteria in bottle",136)+IF(SUM($F$14:F148)&gt;=n,0,E149)</f>
        <v>0</v>
      </c>
    </row>
    <row r="150" spans="2:6" ht="12.75" hidden="1">
      <c r="B150" s="9">
        <v>137</v>
      </c>
      <c r="C150" s="21">
        <f>IF(n-SUM($F$14:F149)=0,999,n-SUM($F$14:F149))</f>
        <v>156</v>
      </c>
      <c r="D150" s="24">
        <f t="shared" si="2"/>
        <v>0.0027472527472527475</v>
      </c>
      <c r="E150" s="29">
        <f>_XLL.VOSEBINOMIAL(C150,D150)</f>
        <v>0</v>
      </c>
      <c r="F150" s="10">
        <f>_XLL.VOSEOUTPUT(Model!B150,,"Bacteria in bottle",137)+IF(SUM($F$14:F149)&gt;=n,0,E150)</f>
        <v>0</v>
      </c>
    </row>
    <row r="151" spans="2:6" ht="12.75" hidden="1">
      <c r="B151" s="9">
        <v>138</v>
      </c>
      <c r="C151" s="21">
        <f>IF(n-SUM($F$14:F150)=0,999,n-SUM($F$14:F150))</f>
        <v>156</v>
      </c>
      <c r="D151" s="24">
        <f t="shared" si="2"/>
        <v>0.0027548209366391185</v>
      </c>
      <c r="E151" s="29">
        <f>_XLL.VOSEBINOMIAL(C151,D151)</f>
        <v>0</v>
      </c>
      <c r="F151" s="10">
        <f>_XLL.VOSEOUTPUT(Model!B151,,"Bacteria in bottle",138)+IF(SUM($F$14:F150)&gt;=n,0,E151)</f>
        <v>0</v>
      </c>
    </row>
    <row r="152" spans="2:6" ht="12.75" hidden="1">
      <c r="B152" s="9">
        <v>139</v>
      </c>
      <c r="C152" s="21">
        <f>IF(n-SUM($F$14:F151)=0,999,n-SUM($F$14:F151))</f>
        <v>156</v>
      </c>
      <c r="D152" s="24">
        <f t="shared" si="2"/>
        <v>0.0027624309392265192</v>
      </c>
      <c r="E152" s="29">
        <f>_XLL.VOSEBINOMIAL(C152,D152)</f>
        <v>0</v>
      </c>
      <c r="F152" s="10">
        <f>_XLL.VOSEOUTPUT(Model!B152,,"Bacteria in bottle",139)+IF(SUM($F$14:F151)&gt;=n,0,E152)</f>
        <v>0</v>
      </c>
    </row>
    <row r="153" spans="2:6" ht="12.75" hidden="1">
      <c r="B153" s="9">
        <v>140</v>
      </c>
      <c r="C153" s="21">
        <f>IF(n-SUM($F$14:F152)=0,999,n-SUM($F$14:F152))</f>
        <v>156</v>
      </c>
      <c r="D153" s="24">
        <f t="shared" si="2"/>
        <v>0.002770083102493075</v>
      </c>
      <c r="E153" s="29">
        <f>_XLL.VOSEBINOMIAL(C153,D153)</f>
        <v>1</v>
      </c>
      <c r="F153" s="10">
        <f>_XLL.VOSEOUTPUT(Model!B153,,"Bacteria in bottle",140)+IF(SUM($F$14:F152)&gt;=n,0,E153)</f>
        <v>1</v>
      </c>
    </row>
    <row r="154" spans="2:6" ht="12.75" hidden="1">
      <c r="B154" s="9">
        <v>141</v>
      </c>
      <c r="C154" s="21">
        <f>IF(n-SUM($F$14:F153)=0,999,n-SUM($F$14:F153))</f>
        <v>155</v>
      </c>
      <c r="D154" s="24">
        <f t="shared" si="2"/>
        <v>0.002777777777777778</v>
      </c>
      <c r="E154" s="29">
        <f>_XLL.VOSEBINOMIAL(C154,D154)</f>
        <v>0</v>
      </c>
      <c r="F154" s="10">
        <f>_XLL.VOSEOUTPUT(Model!B154,,"Bacteria in bottle",141)+IF(SUM($F$14:F153)&gt;=n,0,E154)</f>
        <v>0</v>
      </c>
    </row>
    <row r="155" spans="2:6" ht="12.75" hidden="1">
      <c r="B155" s="9">
        <v>142</v>
      </c>
      <c r="C155" s="21">
        <f>IF(n-SUM($F$14:F154)=0,999,n-SUM($F$14:F154))</f>
        <v>155</v>
      </c>
      <c r="D155" s="24">
        <f t="shared" si="2"/>
        <v>0.002785515320334262</v>
      </c>
      <c r="E155" s="29">
        <f>_XLL.VOSEBINOMIAL(C155,D155)</f>
        <v>0</v>
      </c>
      <c r="F155" s="10">
        <f>_XLL.VOSEOUTPUT(Model!B155,,"Bacteria in bottle",142)+IF(SUM($F$14:F154)&gt;=n,0,E155)</f>
        <v>0</v>
      </c>
    </row>
    <row r="156" spans="2:6" ht="12.75" hidden="1">
      <c r="B156" s="9">
        <v>143</v>
      </c>
      <c r="C156" s="21">
        <f>IF(n-SUM($F$14:F155)=0,999,n-SUM($F$14:F155))</f>
        <v>155</v>
      </c>
      <c r="D156" s="24">
        <f t="shared" si="2"/>
        <v>0.002793296089385475</v>
      </c>
      <c r="E156" s="29">
        <f>_XLL.VOSEBINOMIAL(C156,D156)</f>
        <v>0</v>
      </c>
      <c r="F156" s="10">
        <f>_XLL.VOSEOUTPUT(Model!B156,,"Bacteria in bottle",143)+IF(SUM($F$14:F155)&gt;=n,0,E156)</f>
        <v>0</v>
      </c>
    </row>
    <row r="157" spans="2:6" ht="12.75" hidden="1">
      <c r="B157" s="9">
        <v>144</v>
      </c>
      <c r="C157" s="21">
        <f>IF(n-SUM($F$14:F156)=0,999,n-SUM($F$14:F156))</f>
        <v>155</v>
      </c>
      <c r="D157" s="24">
        <f t="shared" si="2"/>
        <v>0.0028011204481792717</v>
      </c>
      <c r="E157" s="29">
        <f>_XLL.VOSEBINOMIAL(C157,D157)</f>
        <v>1</v>
      </c>
      <c r="F157" s="10">
        <f>_XLL.VOSEOUTPUT(Model!B157,,"Bacteria in bottle",144)+IF(SUM($F$14:F156)&gt;=n,0,E157)</f>
        <v>1</v>
      </c>
    </row>
    <row r="158" spans="2:6" ht="12.75" hidden="1">
      <c r="B158" s="9">
        <v>145</v>
      </c>
      <c r="C158" s="21">
        <f>IF(n-SUM($F$14:F157)=0,999,n-SUM($F$14:F157))</f>
        <v>154</v>
      </c>
      <c r="D158" s="24">
        <f t="shared" si="2"/>
        <v>0.0028089887640449437</v>
      </c>
      <c r="E158" s="29">
        <f>_XLL.VOSEBINOMIAL(C158,D158)</f>
        <v>0</v>
      </c>
      <c r="F158" s="10">
        <f>_XLL.VOSEOUTPUT(Model!B158,,"Bacteria in bottle",145)+IF(SUM($F$14:F157)&gt;=n,0,E158)</f>
        <v>0</v>
      </c>
    </row>
    <row r="159" spans="2:6" ht="12.75" hidden="1">
      <c r="B159" s="9">
        <v>146</v>
      </c>
      <c r="C159" s="21">
        <f>IF(n-SUM($F$14:F158)=0,999,n-SUM($F$14:F158))</f>
        <v>154</v>
      </c>
      <c r="D159" s="24">
        <f t="shared" si="2"/>
        <v>0.0028169014084507044</v>
      </c>
      <c r="E159" s="29">
        <f>_XLL.VOSEBINOMIAL(C159,D159)</f>
        <v>1</v>
      </c>
      <c r="F159" s="10">
        <f>_XLL.VOSEOUTPUT(Model!B159,,"Bacteria in bottle",146)+IF(SUM($F$14:F158)&gt;=n,0,E159)</f>
        <v>1</v>
      </c>
    </row>
    <row r="160" spans="2:6" ht="12.75" hidden="1">
      <c r="B160" s="9">
        <v>147</v>
      </c>
      <c r="C160" s="21">
        <f>IF(n-SUM($F$14:F159)=0,999,n-SUM($F$14:F159))</f>
        <v>153</v>
      </c>
      <c r="D160" s="24">
        <f t="shared" si="2"/>
        <v>0.002824858757062147</v>
      </c>
      <c r="E160" s="29">
        <f>_XLL.VOSEBINOMIAL(C160,D160)</f>
        <v>0</v>
      </c>
      <c r="F160" s="10">
        <f>_XLL.VOSEOUTPUT(Model!B160,,"Bacteria in bottle",147)+IF(SUM($F$14:F159)&gt;=n,0,E160)</f>
        <v>0</v>
      </c>
    </row>
    <row r="161" spans="2:6" ht="12.75" hidden="1">
      <c r="B161" s="9">
        <v>148</v>
      </c>
      <c r="C161" s="21">
        <f>IF(n-SUM($F$14:F160)=0,999,n-SUM($F$14:F160))</f>
        <v>153</v>
      </c>
      <c r="D161" s="24">
        <f t="shared" si="2"/>
        <v>0.0028328611898017</v>
      </c>
      <c r="E161" s="29">
        <f>_XLL.VOSEBINOMIAL(C161,D161)</f>
        <v>0</v>
      </c>
      <c r="F161" s="10">
        <f>_XLL.VOSEOUTPUT(Model!B161,,"Bacteria in bottle",148)+IF(SUM($F$14:F160)&gt;=n,0,E161)</f>
        <v>0</v>
      </c>
    </row>
    <row r="162" spans="2:6" ht="12.75" hidden="1">
      <c r="B162" s="9">
        <v>149</v>
      </c>
      <c r="C162" s="21">
        <f>IF(n-SUM($F$14:F161)=0,999,n-SUM($F$14:F161))</f>
        <v>153</v>
      </c>
      <c r="D162" s="24">
        <f t="shared" si="2"/>
        <v>0.002840909090909091</v>
      </c>
      <c r="E162" s="29">
        <f>_XLL.VOSEBINOMIAL(C162,D162)</f>
        <v>0</v>
      </c>
      <c r="F162" s="10">
        <f>_XLL.VOSEOUTPUT(Model!B162,,"Bacteria in bottle",149)+IF(SUM($F$14:F161)&gt;=n,0,E162)</f>
        <v>0</v>
      </c>
    </row>
    <row r="163" spans="2:6" ht="12.75" hidden="1">
      <c r="B163" s="9">
        <v>150</v>
      </c>
      <c r="C163" s="21">
        <f>IF(n-SUM($F$14:F162)=0,999,n-SUM($F$14:F162))</f>
        <v>153</v>
      </c>
      <c r="D163" s="24">
        <f t="shared" si="2"/>
        <v>0.002849002849002849</v>
      </c>
      <c r="E163" s="29">
        <f>_XLL.VOSEBINOMIAL(C163,D163)</f>
        <v>0</v>
      </c>
      <c r="F163" s="10">
        <f>_XLL.VOSEOUTPUT(Model!B163,,"Bacteria in bottle",150)+IF(SUM($F$14:F162)&gt;=n,0,E163)</f>
        <v>0</v>
      </c>
    </row>
    <row r="164" spans="2:6" ht="12.75" hidden="1">
      <c r="B164" s="9">
        <v>151</v>
      </c>
      <c r="C164" s="21">
        <f>IF(n-SUM($F$14:F163)=0,999,n-SUM($F$14:F163))</f>
        <v>153</v>
      </c>
      <c r="D164" s="24">
        <f t="shared" si="2"/>
        <v>0.002857142857142857</v>
      </c>
      <c r="E164" s="29">
        <f>_XLL.VOSEBINOMIAL(C164,D164)</f>
        <v>0</v>
      </c>
      <c r="F164" s="10">
        <f>_XLL.VOSEOUTPUT(Model!B164,,"Bacteria in bottle",151)+IF(SUM($F$14:F163)&gt;=n,0,E164)</f>
        <v>0</v>
      </c>
    </row>
    <row r="165" spans="2:6" ht="12.75" hidden="1">
      <c r="B165" s="9">
        <v>152</v>
      </c>
      <c r="C165" s="21">
        <f>IF(n-SUM($F$14:F164)=0,999,n-SUM($F$14:F164))</f>
        <v>153</v>
      </c>
      <c r="D165" s="24">
        <f t="shared" si="2"/>
        <v>0.0028653295128939827</v>
      </c>
      <c r="E165" s="29">
        <f>_XLL.VOSEBINOMIAL(C165,D165)</f>
        <v>0</v>
      </c>
      <c r="F165" s="10">
        <f>_XLL.VOSEOUTPUT(Model!B165,,"Bacteria in bottle",152)+IF(SUM($F$14:F164)&gt;=n,0,E165)</f>
        <v>0</v>
      </c>
    </row>
    <row r="166" spans="2:6" ht="12.75" hidden="1">
      <c r="B166" s="9">
        <v>153</v>
      </c>
      <c r="C166" s="21">
        <f>IF(n-SUM($F$14:F165)=0,999,n-SUM($F$14:F165))</f>
        <v>153</v>
      </c>
      <c r="D166" s="24">
        <f t="shared" si="2"/>
        <v>0.0028735632183908046</v>
      </c>
      <c r="E166" s="29">
        <f>_XLL.VOSEBINOMIAL(C166,D166)</f>
        <v>0</v>
      </c>
      <c r="F166" s="10">
        <f>_XLL.VOSEOUTPUT(Model!B166,,"Bacteria in bottle",153)+IF(SUM($F$14:F165)&gt;=n,0,E166)</f>
        <v>0</v>
      </c>
    </row>
    <row r="167" spans="2:6" ht="12.75" hidden="1">
      <c r="B167" s="9">
        <v>154</v>
      </c>
      <c r="C167" s="21">
        <f>IF(n-SUM($F$14:F166)=0,999,n-SUM($F$14:F166))</f>
        <v>153</v>
      </c>
      <c r="D167" s="24">
        <f t="shared" si="2"/>
        <v>0.002881844380403458</v>
      </c>
      <c r="E167" s="29">
        <f>_XLL.VOSEBINOMIAL(C167,D167)</f>
        <v>1</v>
      </c>
      <c r="F167" s="10">
        <f>_XLL.VOSEOUTPUT(Model!B167,,"Bacteria in bottle",154)+IF(SUM($F$14:F166)&gt;=n,0,E167)</f>
        <v>1</v>
      </c>
    </row>
    <row r="168" spans="2:6" ht="12.75" hidden="1">
      <c r="B168" s="9">
        <v>155</v>
      </c>
      <c r="C168" s="21">
        <f>IF(n-SUM($F$14:F167)=0,999,n-SUM($F$14:F167))</f>
        <v>152</v>
      </c>
      <c r="D168" s="24">
        <f t="shared" si="2"/>
        <v>0.002890173410404624</v>
      </c>
      <c r="E168" s="29">
        <f>_XLL.VOSEBINOMIAL(C168,D168)</f>
        <v>0</v>
      </c>
      <c r="F168" s="10">
        <f>_XLL.VOSEOUTPUT(Model!B168,,"Bacteria in bottle",155)+IF(SUM($F$14:F167)&gt;=n,0,E168)</f>
        <v>0</v>
      </c>
    </row>
    <row r="169" spans="2:6" ht="12.75" hidden="1">
      <c r="B169" s="9">
        <v>156</v>
      </c>
      <c r="C169" s="21">
        <f>IF(n-SUM($F$14:F168)=0,999,n-SUM($F$14:F168))</f>
        <v>152</v>
      </c>
      <c r="D169" s="24">
        <f t="shared" si="2"/>
        <v>0.002898550724637681</v>
      </c>
      <c r="E169" s="29">
        <f>_XLL.VOSEBINOMIAL(C169,D169)</f>
        <v>1</v>
      </c>
      <c r="F169" s="10">
        <f>_XLL.VOSEOUTPUT(Model!B169,,"Bacteria in bottle",156)+IF(SUM($F$14:F168)&gt;=n,0,E169)</f>
        <v>1</v>
      </c>
    </row>
    <row r="170" spans="2:6" ht="12.75" hidden="1">
      <c r="B170" s="9">
        <v>157</v>
      </c>
      <c r="C170" s="21">
        <f>IF(n-SUM($F$14:F169)=0,999,n-SUM($F$14:F169))</f>
        <v>151</v>
      </c>
      <c r="D170" s="24">
        <f t="shared" si="2"/>
        <v>0.0029069767441860465</v>
      </c>
      <c r="E170" s="29">
        <f>_XLL.VOSEBINOMIAL(C170,D170)</f>
        <v>1</v>
      </c>
      <c r="F170" s="10">
        <f>_XLL.VOSEOUTPUT(Model!B170,,"Bacteria in bottle",157)+IF(SUM($F$14:F169)&gt;=n,0,E170)</f>
        <v>1</v>
      </c>
    </row>
    <row r="171" spans="2:6" ht="12.75" hidden="1">
      <c r="B171" s="9">
        <v>158</v>
      </c>
      <c r="C171" s="21">
        <f>IF(n-SUM($F$14:F170)=0,999,n-SUM($F$14:F170))</f>
        <v>150</v>
      </c>
      <c r="D171" s="24">
        <f t="shared" si="2"/>
        <v>0.0029154518950437317</v>
      </c>
      <c r="E171" s="29">
        <f>_XLL.VOSEBINOMIAL(C171,D171)</f>
        <v>0</v>
      </c>
      <c r="F171" s="10">
        <f>_XLL.VOSEOUTPUT(Model!B171,,"Bacteria in bottle",158)+IF(SUM($F$14:F170)&gt;=n,0,E171)</f>
        <v>0</v>
      </c>
    </row>
    <row r="172" spans="2:6" ht="12.75" hidden="1">
      <c r="B172" s="9">
        <v>159</v>
      </c>
      <c r="C172" s="21">
        <f>IF(n-SUM($F$14:F171)=0,999,n-SUM($F$14:F171))</f>
        <v>150</v>
      </c>
      <c r="D172" s="24">
        <f t="shared" si="2"/>
        <v>0.0029239766081871343</v>
      </c>
      <c r="E172" s="29">
        <f>_XLL.VOSEBINOMIAL(C172,D172)</f>
        <v>1</v>
      </c>
      <c r="F172" s="10">
        <f>_XLL.VOSEOUTPUT(Model!B172,,"Bacteria in bottle",159)+IF(SUM($F$14:F171)&gt;=n,0,E172)</f>
        <v>1</v>
      </c>
    </row>
    <row r="173" spans="2:6" ht="12.75" hidden="1">
      <c r="B173" s="9">
        <v>160</v>
      </c>
      <c r="C173" s="21">
        <f>IF(n-SUM($F$14:F172)=0,999,n-SUM($F$14:F172))</f>
        <v>149</v>
      </c>
      <c r="D173" s="24">
        <f t="shared" si="2"/>
        <v>0.002932551319648094</v>
      </c>
      <c r="E173" s="29">
        <f>_XLL.VOSEBINOMIAL(C173,D173)</f>
        <v>0</v>
      </c>
      <c r="F173" s="10">
        <f>_XLL.VOSEOUTPUT(Model!B173,,"Bacteria in bottle",160)+IF(SUM($F$14:F172)&gt;=n,0,E173)</f>
        <v>0</v>
      </c>
    </row>
    <row r="174" spans="2:6" ht="12.75" hidden="1">
      <c r="B174" s="9">
        <v>161</v>
      </c>
      <c r="C174" s="21">
        <f>IF(n-SUM($F$14:F173)=0,999,n-SUM($F$14:F173))</f>
        <v>149</v>
      </c>
      <c r="D174" s="24">
        <f t="shared" si="2"/>
        <v>0.0029411764705882353</v>
      </c>
      <c r="E174" s="29">
        <f>_XLL.VOSEBINOMIAL(C174,D174)</f>
        <v>2</v>
      </c>
      <c r="F174" s="10">
        <f>_XLL.VOSEOUTPUT(Model!B174,,"Bacteria in bottle",161)+IF(SUM($F$14:F173)&gt;=n,0,E174)</f>
        <v>2</v>
      </c>
    </row>
    <row r="175" spans="2:6" ht="12.75" hidden="1">
      <c r="B175" s="9">
        <v>162</v>
      </c>
      <c r="C175" s="21">
        <f>IF(n-SUM($F$14:F174)=0,999,n-SUM($F$14:F174))</f>
        <v>147</v>
      </c>
      <c r="D175" s="24">
        <f t="shared" si="2"/>
        <v>0.0029498525073746312</v>
      </c>
      <c r="E175" s="29">
        <f>_XLL.VOSEBINOMIAL(C175,D175)</f>
        <v>1</v>
      </c>
      <c r="F175" s="10">
        <f>_XLL.VOSEOUTPUT(Model!B175,,"Bacteria in bottle",162)+IF(SUM($F$14:F174)&gt;=n,0,E175)</f>
        <v>1</v>
      </c>
    </row>
    <row r="176" spans="2:6" ht="12.75" hidden="1">
      <c r="B176" s="9">
        <v>163</v>
      </c>
      <c r="C176" s="21">
        <f>IF(n-SUM($F$14:F175)=0,999,n-SUM($F$14:F175))</f>
        <v>146</v>
      </c>
      <c r="D176" s="24">
        <f t="shared" si="2"/>
        <v>0.0029585798816568047</v>
      </c>
      <c r="E176" s="29">
        <f>_XLL.VOSEBINOMIAL(C176,D176)</f>
        <v>1</v>
      </c>
      <c r="F176" s="10">
        <f>_XLL.VOSEOUTPUT(Model!B176,,"Bacteria in bottle",163)+IF(SUM($F$14:F175)&gt;=n,0,E176)</f>
        <v>1</v>
      </c>
    </row>
    <row r="177" spans="2:6" ht="12.75" hidden="1">
      <c r="B177" s="9">
        <v>164</v>
      </c>
      <c r="C177" s="21">
        <f>IF(n-SUM($F$14:F176)=0,999,n-SUM($F$14:F176))</f>
        <v>145</v>
      </c>
      <c r="D177" s="24">
        <f t="shared" si="2"/>
        <v>0.002967359050445104</v>
      </c>
      <c r="E177" s="29">
        <f>_XLL.VOSEBINOMIAL(C177,D177)</f>
        <v>0</v>
      </c>
      <c r="F177" s="10">
        <f>_XLL.VOSEOUTPUT(Model!B177,,"Bacteria in bottle",164)+IF(SUM($F$14:F176)&gt;=n,0,E177)</f>
        <v>0</v>
      </c>
    </row>
    <row r="178" spans="2:6" ht="12.75" hidden="1">
      <c r="B178" s="9">
        <v>165</v>
      </c>
      <c r="C178" s="21">
        <f>IF(n-SUM($F$14:F177)=0,999,n-SUM($F$14:F177))</f>
        <v>145</v>
      </c>
      <c r="D178" s="24">
        <f t="shared" si="2"/>
        <v>0.002976190476190476</v>
      </c>
      <c r="E178" s="29">
        <f>_XLL.VOSEBINOMIAL(C178,D178)</f>
        <v>0</v>
      </c>
      <c r="F178" s="10">
        <f>_XLL.VOSEOUTPUT(Model!B178,,"Bacteria in bottle",165)+IF(SUM($F$14:F177)&gt;=n,0,E178)</f>
        <v>0</v>
      </c>
    </row>
    <row r="179" spans="2:6" ht="12.75" hidden="1">
      <c r="B179" s="9">
        <v>166</v>
      </c>
      <c r="C179" s="21">
        <f>IF(n-SUM($F$14:F178)=0,999,n-SUM($F$14:F178))</f>
        <v>145</v>
      </c>
      <c r="D179" s="24">
        <f t="shared" si="2"/>
        <v>0.0029850746268656717</v>
      </c>
      <c r="E179" s="29">
        <f>_XLL.VOSEBINOMIAL(C179,D179)</f>
        <v>1</v>
      </c>
      <c r="F179" s="10">
        <f>_XLL.VOSEOUTPUT(Model!B179,,"Bacteria in bottle",166)+IF(SUM($F$14:F178)&gt;=n,0,E179)</f>
        <v>1</v>
      </c>
    </row>
    <row r="180" spans="2:6" ht="12.75" hidden="1">
      <c r="B180" s="9">
        <v>167</v>
      </c>
      <c r="C180" s="21">
        <f>IF(n-SUM($F$14:F179)=0,999,n-SUM($F$14:F179))</f>
        <v>144</v>
      </c>
      <c r="D180" s="24">
        <f t="shared" si="2"/>
        <v>0.0029940119760479044</v>
      </c>
      <c r="E180" s="29">
        <f>_XLL.VOSEBINOMIAL(C180,D180)</f>
        <v>0</v>
      </c>
      <c r="F180" s="10">
        <f>_XLL.VOSEOUTPUT(Model!B180,,"Bacteria in bottle",167)+IF(SUM($F$14:F179)&gt;=n,0,E180)</f>
        <v>0</v>
      </c>
    </row>
    <row r="181" spans="2:6" ht="12.75" hidden="1">
      <c r="B181" s="9">
        <v>168</v>
      </c>
      <c r="C181" s="21">
        <f>IF(n-SUM($F$14:F180)=0,999,n-SUM($F$14:F180))</f>
        <v>144</v>
      </c>
      <c r="D181" s="24">
        <f t="shared" si="2"/>
        <v>0.003003003003003003</v>
      </c>
      <c r="E181" s="29">
        <f>_XLL.VOSEBINOMIAL(C181,D181)</f>
        <v>1</v>
      </c>
      <c r="F181" s="10">
        <f>_XLL.VOSEOUTPUT(Model!B181,,"Bacteria in bottle",168)+IF(SUM($F$14:F180)&gt;=n,0,E181)</f>
        <v>1</v>
      </c>
    </row>
    <row r="182" spans="2:6" ht="12.75" hidden="1">
      <c r="B182" s="9">
        <v>169</v>
      </c>
      <c r="C182" s="21">
        <f>IF(n-SUM($F$14:F181)=0,999,n-SUM($F$14:F181))</f>
        <v>143</v>
      </c>
      <c r="D182" s="24">
        <f t="shared" si="2"/>
        <v>0.0030120481927710845</v>
      </c>
      <c r="E182" s="29">
        <f>_XLL.VOSEBINOMIAL(C182,D182)</f>
        <v>0</v>
      </c>
      <c r="F182" s="10">
        <f>_XLL.VOSEOUTPUT(Model!B182,,"Bacteria in bottle",169)+IF(SUM($F$14:F181)&gt;=n,0,E182)</f>
        <v>0</v>
      </c>
    </row>
    <row r="183" spans="2:6" ht="12.75" hidden="1">
      <c r="B183" s="9">
        <v>170</v>
      </c>
      <c r="C183" s="21">
        <f>IF(n-SUM($F$14:F182)=0,999,n-SUM($F$14:F182))</f>
        <v>143</v>
      </c>
      <c r="D183" s="24">
        <f t="shared" si="2"/>
        <v>0.0030211480362537764</v>
      </c>
      <c r="E183" s="29">
        <f>_XLL.VOSEBINOMIAL(C183,D183)</f>
        <v>1</v>
      </c>
      <c r="F183" s="10">
        <f>_XLL.VOSEOUTPUT(Model!B183,,"Bacteria in bottle",170)+IF(SUM($F$14:F182)&gt;=n,0,E183)</f>
        <v>1</v>
      </c>
    </row>
    <row r="184" spans="2:6" ht="12.75" hidden="1">
      <c r="B184" s="9">
        <v>171</v>
      </c>
      <c r="C184" s="21">
        <f>IF(n-SUM($F$14:F183)=0,999,n-SUM($F$14:F183))</f>
        <v>142</v>
      </c>
      <c r="D184" s="24">
        <f t="shared" si="2"/>
        <v>0.0030303030303030303</v>
      </c>
      <c r="E184" s="29">
        <f>_XLL.VOSEBINOMIAL(C184,D184)</f>
        <v>0</v>
      </c>
      <c r="F184" s="10">
        <f>_XLL.VOSEOUTPUT(Model!B184,,"Bacteria in bottle",171)+IF(SUM($F$14:F183)&gt;=n,0,E184)</f>
        <v>0</v>
      </c>
    </row>
    <row r="185" spans="2:6" ht="12.75" hidden="1">
      <c r="B185" s="9">
        <v>172</v>
      </c>
      <c r="C185" s="21">
        <f>IF(n-SUM($F$14:F184)=0,999,n-SUM($F$14:F184))</f>
        <v>142</v>
      </c>
      <c r="D185" s="24">
        <f t="shared" si="2"/>
        <v>0.00303951367781155</v>
      </c>
      <c r="E185" s="29">
        <f>_XLL.VOSEBINOMIAL(C185,D185)</f>
        <v>0</v>
      </c>
      <c r="F185" s="10">
        <f>_XLL.VOSEOUTPUT(Model!B185,,"Bacteria in bottle",172)+IF(SUM($F$14:F184)&gt;=n,0,E185)</f>
        <v>0</v>
      </c>
    </row>
    <row r="186" spans="2:6" ht="12.75" hidden="1">
      <c r="B186" s="9">
        <v>173</v>
      </c>
      <c r="C186" s="21">
        <f>IF(n-SUM($F$14:F185)=0,999,n-SUM($F$14:F185))</f>
        <v>142</v>
      </c>
      <c r="D186" s="24">
        <f t="shared" si="2"/>
        <v>0.003048780487804878</v>
      </c>
      <c r="E186" s="29">
        <f>_XLL.VOSEBINOMIAL(C186,D186)</f>
        <v>0</v>
      </c>
      <c r="F186" s="10">
        <f>_XLL.VOSEOUTPUT(Model!B186,,"Bacteria in bottle",173)+IF(SUM($F$14:F185)&gt;=n,0,E186)</f>
        <v>0</v>
      </c>
    </row>
    <row r="187" spans="2:6" ht="12.75" hidden="1">
      <c r="B187" s="9">
        <v>174</v>
      </c>
      <c r="C187" s="21">
        <f>IF(n-SUM($F$14:F186)=0,999,n-SUM($F$14:F186))</f>
        <v>142</v>
      </c>
      <c r="D187" s="24">
        <f t="shared" si="2"/>
        <v>0.0030581039755351682</v>
      </c>
      <c r="E187" s="29">
        <f>_XLL.VOSEBINOMIAL(C187,D187)</f>
        <v>0</v>
      </c>
      <c r="F187" s="10">
        <f>_XLL.VOSEOUTPUT(Model!B187,,"Bacteria in bottle",174)+IF(SUM($F$14:F186)&gt;=n,0,E187)</f>
        <v>0</v>
      </c>
    </row>
    <row r="188" spans="2:6" ht="12.75" hidden="1">
      <c r="B188" s="9">
        <v>175</v>
      </c>
      <c r="C188" s="21">
        <f>IF(n-SUM($F$14:F187)=0,999,n-SUM($F$14:F187))</f>
        <v>142</v>
      </c>
      <c r="D188" s="24">
        <f t="shared" si="2"/>
        <v>0.003067484662576687</v>
      </c>
      <c r="E188" s="29">
        <f>_XLL.VOSEBINOMIAL(C188,D188)</f>
        <v>0</v>
      </c>
      <c r="F188" s="10">
        <f>_XLL.VOSEOUTPUT(Model!B188,,"Bacteria in bottle",175)+IF(SUM($F$14:F187)&gt;=n,0,E188)</f>
        <v>0</v>
      </c>
    </row>
    <row r="189" spans="2:6" ht="12.75" hidden="1">
      <c r="B189" s="9">
        <v>176</v>
      </c>
      <c r="C189" s="21">
        <f>IF(n-SUM($F$14:F188)=0,999,n-SUM($F$14:F188))</f>
        <v>142</v>
      </c>
      <c r="D189" s="24">
        <f t="shared" si="2"/>
        <v>0.003076923076923077</v>
      </c>
      <c r="E189" s="29">
        <f>_XLL.VOSEBINOMIAL(C189,D189)</f>
        <v>0</v>
      </c>
      <c r="F189" s="10">
        <f>_XLL.VOSEOUTPUT(Model!B189,,"Bacteria in bottle",176)+IF(SUM($F$14:F188)&gt;=n,0,E189)</f>
        <v>0</v>
      </c>
    </row>
    <row r="190" spans="2:6" ht="12.75" hidden="1">
      <c r="B190" s="9">
        <v>177</v>
      </c>
      <c r="C190" s="21">
        <f>IF(n-SUM($F$14:F189)=0,999,n-SUM($F$14:F189))</f>
        <v>142</v>
      </c>
      <c r="D190" s="24">
        <f t="shared" si="2"/>
        <v>0.0030864197530864196</v>
      </c>
      <c r="E190" s="29">
        <f>_XLL.VOSEBINOMIAL(C190,D190)</f>
        <v>0</v>
      </c>
      <c r="F190" s="10">
        <f>_XLL.VOSEOUTPUT(Model!B190,,"Bacteria in bottle",177)+IF(SUM($F$14:F189)&gt;=n,0,E190)</f>
        <v>0</v>
      </c>
    </row>
    <row r="191" spans="2:6" ht="12.75" hidden="1">
      <c r="B191" s="9">
        <v>178</v>
      </c>
      <c r="C191" s="21">
        <f>IF(n-SUM($F$14:F190)=0,999,n-SUM($F$14:F190))</f>
        <v>142</v>
      </c>
      <c r="D191" s="24">
        <f t="shared" si="2"/>
        <v>0.0030959752321981426</v>
      </c>
      <c r="E191" s="29">
        <f>_XLL.VOSEBINOMIAL(C191,D191)</f>
        <v>0</v>
      </c>
      <c r="F191" s="10">
        <f>_XLL.VOSEOUTPUT(Model!B191,,"Bacteria in bottle",178)+IF(SUM($F$14:F190)&gt;=n,0,E191)</f>
        <v>0</v>
      </c>
    </row>
    <row r="192" spans="2:6" ht="12.75" hidden="1">
      <c r="B192" s="9">
        <v>179</v>
      </c>
      <c r="C192" s="21">
        <f>IF(n-SUM($F$14:F191)=0,999,n-SUM($F$14:F191))</f>
        <v>142</v>
      </c>
      <c r="D192" s="24">
        <f t="shared" si="2"/>
        <v>0.003105590062111801</v>
      </c>
      <c r="E192" s="29">
        <f>_XLL.VOSEBINOMIAL(C192,D192)</f>
        <v>1</v>
      </c>
      <c r="F192" s="10">
        <f>_XLL.VOSEOUTPUT(Model!B192,,"Bacteria in bottle",179)+IF(SUM($F$14:F191)&gt;=n,0,E192)</f>
        <v>1</v>
      </c>
    </row>
    <row r="193" spans="2:6" ht="12.75" hidden="1">
      <c r="B193" s="9">
        <v>180</v>
      </c>
      <c r="C193" s="21">
        <f>IF(n-SUM($F$14:F192)=0,999,n-SUM($F$14:F192))</f>
        <v>141</v>
      </c>
      <c r="D193" s="24">
        <f t="shared" si="2"/>
        <v>0.003115264797507788</v>
      </c>
      <c r="E193" s="29">
        <f>_XLL.VOSEBINOMIAL(C193,D193)</f>
        <v>0</v>
      </c>
      <c r="F193" s="10">
        <f>_XLL.VOSEOUTPUT(Model!B193,,"Bacteria in bottle",180)+IF(SUM($F$14:F192)&gt;=n,0,E193)</f>
        <v>0</v>
      </c>
    </row>
    <row r="194" spans="2:6" ht="12.75" hidden="1">
      <c r="B194" s="9">
        <v>181</v>
      </c>
      <c r="C194" s="21">
        <f>IF(n-SUM($F$14:F193)=0,999,n-SUM($F$14:F193))</f>
        <v>141</v>
      </c>
      <c r="D194" s="24">
        <f t="shared" si="2"/>
        <v>0.003125</v>
      </c>
      <c r="E194" s="29">
        <f>_XLL.VOSEBINOMIAL(C194,D194)</f>
        <v>0</v>
      </c>
      <c r="F194" s="10">
        <f>_XLL.VOSEOUTPUT(Model!B194,,"Bacteria in bottle",181)+IF(SUM($F$14:F193)&gt;=n,0,E194)</f>
        <v>0</v>
      </c>
    </row>
    <row r="195" spans="2:6" ht="12.75" hidden="1">
      <c r="B195" s="9">
        <v>182</v>
      </c>
      <c r="C195" s="21">
        <f>IF(n-SUM($F$14:F194)=0,999,n-SUM($F$14:F194))</f>
        <v>141</v>
      </c>
      <c r="D195" s="24">
        <f t="shared" si="2"/>
        <v>0.003134796238244514</v>
      </c>
      <c r="E195" s="29">
        <f>_XLL.VOSEBINOMIAL(C195,D195)</f>
        <v>0</v>
      </c>
      <c r="F195" s="10">
        <f>_XLL.VOSEOUTPUT(Model!B195,,"Bacteria in bottle",182)+IF(SUM($F$14:F194)&gt;=n,0,E195)</f>
        <v>0</v>
      </c>
    </row>
    <row r="196" spans="2:6" ht="12.75" hidden="1">
      <c r="B196" s="9">
        <v>183</v>
      </c>
      <c r="C196" s="21">
        <f>IF(n-SUM($F$14:F195)=0,999,n-SUM($F$14:F195))</f>
        <v>141</v>
      </c>
      <c r="D196" s="24">
        <f t="shared" si="2"/>
        <v>0.0031446540880503146</v>
      </c>
      <c r="E196" s="29">
        <f>_XLL.VOSEBINOMIAL(C196,D196)</f>
        <v>1</v>
      </c>
      <c r="F196" s="10">
        <f>_XLL.VOSEOUTPUT(Model!B196,,"Bacteria in bottle",183)+IF(SUM($F$14:F195)&gt;=n,0,E196)</f>
        <v>1</v>
      </c>
    </row>
    <row r="197" spans="2:6" ht="12.75" hidden="1">
      <c r="B197" s="9">
        <v>184</v>
      </c>
      <c r="C197" s="21">
        <f>IF(n-SUM($F$14:F196)=0,999,n-SUM($F$14:F196))</f>
        <v>140</v>
      </c>
      <c r="D197" s="24">
        <f t="shared" si="2"/>
        <v>0.0031545741324921135</v>
      </c>
      <c r="E197" s="29">
        <f>_XLL.VOSEBINOMIAL(C197,D197)</f>
        <v>0</v>
      </c>
      <c r="F197" s="10">
        <f>_XLL.VOSEOUTPUT(Model!B197,,"Bacteria in bottle",184)+IF(SUM($F$14:F196)&gt;=n,0,E197)</f>
        <v>0</v>
      </c>
    </row>
    <row r="198" spans="2:6" ht="12.75" hidden="1">
      <c r="B198" s="9">
        <v>185</v>
      </c>
      <c r="C198" s="21">
        <f>IF(n-SUM($F$14:F197)=0,999,n-SUM($F$14:F197))</f>
        <v>140</v>
      </c>
      <c r="D198" s="24">
        <f t="shared" si="2"/>
        <v>0.0031645569620253164</v>
      </c>
      <c r="E198" s="29">
        <f>_XLL.VOSEBINOMIAL(C198,D198)</f>
        <v>0</v>
      </c>
      <c r="F198" s="10">
        <f>_XLL.VOSEOUTPUT(Model!B198,,"Bacteria in bottle",185)+IF(SUM($F$14:F197)&gt;=n,0,E198)</f>
        <v>0</v>
      </c>
    </row>
    <row r="199" spans="2:6" ht="12.75" hidden="1">
      <c r="B199" s="9">
        <v>186</v>
      </c>
      <c r="C199" s="21">
        <f>IF(n-SUM($F$14:F198)=0,999,n-SUM($F$14:F198))</f>
        <v>140</v>
      </c>
      <c r="D199" s="24">
        <f t="shared" si="2"/>
        <v>0.0031746031746031746</v>
      </c>
      <c r="E199" s="29">
        <f>_XLL.VOSEBINOMIAL(C199,D199)</f>
        <v>1</v>
      </c>
      <c r="F199" s="10">
        <f>_XLL.VOSEOUTPUT(Model!B199,,"Bacteria in bottle",186)+IF(SUM($F$14:F198)&gt;=n,0,E199)</f>
        <v>1</v>
      </c>
    </row>
    <row r="200" spans="2:6" ht="12.75" hidden="1">
      <c r="B200" s="9">
        <v>187</v>
      </c>
      <c r="C200" s="21">
        <f>IF(n-SUM($F$14:F199)=0,999,n-SUM($F$14:F199))</f>
        <v>139</v>
      </c>
      <c r="D200" s="24">
        <f t="shared" si="2"/>
        <v>0.0031847133757961785</v>
      </c>
      <c r="E200" s="29">
        <f>_XLL.VOSEBINOMIAL(C200,D200)</f>
        <v>0</v>
      </c>
      <c r="F200" s="10">
        <f>_XLL.VOSEOUTPUT(Model!B200,,"Bacteria in bottle",187)+IF(SUM($F$14:F199)&gt;=n,0,E200)</f>
        <v>0</v>
      </c>
    </row>
    <row r="201" spans="2:6" ht="12.75" hidden="1">
      <c r="B201" s="9">
        <v>188</v>
      </c>
      <c r="C201" s="21">
        <f>IF(n-SUM($F$14:F200)=0,999,n-SUM($F$14:F200))</f>
        <v>139</v>
      </c>
      <c r="D201" s="24">
        <f t="shared" si="2"/>
        <v>0.003194888178913738</v>
      </c>
      <c r="E201" s="29">
        <f>_XLL.VOSEBINOMIAL(C201,D201)</f>
        <v>1</v>
      </c>
      <c r="F201" s="10">
        <f>_XLL.VOSEOUTPUT(Model!B201,,"Bacteria in bottle",188)+IF(SUM($F$14:F200)&gt;=n,0,E201)</f>
        <v>1</v>
      </c>
    </row>
    <row r="202" spans="2:6" ht="12.75" hidden="1">
      <c r="B202" s="9">
        <v>189</v>
      </c>
      <c r="C202" s="21">
        <f>IF(n-SUM($F$14:F201)=0,999,n-SUM($F$14:F201))</f>
        <v>138</v>
      </c>
      <c r="D202" s="24">
        <f t="shared" si="2"/>
        <v>0.003205128205128205</v>
      </c>
      <c r="E202" s="29">
        <f>_XLL.VOSEBINOMIAL(C202,D202)</f>
        <v>0</v>
      </c>
      <c r="F202" s="10">
        <f>_XLL.VOSEOUTPUT(Model!B202,,"Bacteria in bottle",189)+IF(SUM($F$14:F201)&gt;=n,0,E202)</f>
        <v>0</v>
      </c>
    </row>
    <row r="203" spans="2:6" ht="12.75" hidden="1">
      <c r="B203" s="9">
        <v>190</v>
      </c>
      <c r="C203" s="21">
        <f>IF(n-SUM($F$14:F202)=0,999,n-SUM($F$14:F202))</f>
        <v>138</v>
      </c>
      <c r="D203" s="24">
        <f t="shared" si="2"/>
        <v>0.003215434083601286</v>
      </c>
      <c r="E203" s="29">
        <f>_XLL.VOSEBINOMIAL(C203,D203)</f>
        <v>1</v>
      </c>
      <c r="F203" s="10">
        <f>_XLL.VOSEOUTPUT(Model!B203,,"Bacteria in bottle",190)+IF(SUM($F$14:F202)&gt;=n,0,E203)</f>
        <v>1</v>
      </c>
    </row>
    <row r="204" spans="2:6" ht="12.75" hidden="1">
      <c r="B204" s="9">
        <v>191</v>
      </c>
      <c r="C204" s="21">
        <f>IF(n-SUM($F$14:F203)=0,999,n-SUM($F$14:F203))</f>
        <v>137</v>
      </c>
      <c r="D204" s="24">
        <f t="shared" si="2"/>
        <v>0.0032258064516129032</v>
      </c>
      <c r="E204" s="29">
        <f>_XLL.VOSEBINOMIAL(C204,D204)</f>
        <v>0</v>
      </c>
      <c r="F204" s="10">
        <f>_XLL.VOSEOUTPUT(Model!B204,,"Bacteria in bottle",191)+IF(SUM($F$14:F203)&gt;=n,0,E204)</f>
        <v>0</v>
      </c>
    </row>
    <row r="205" spans="2:6" ht="12.75" hidden="1">
      <c r="B205" s="9">
        <v>192</v>
      </c>
      <c r="C205" s="21">
        <f>IF(n-SUM($F$14:F204)=0,999,n-SUM($F$14:F204))</f>
        <v>137</v>
      </c>
      <c r="D205" s="24">
        <f t="shared" si="2"/>
        <v>0.003236245954692557</v>
      </c>
      <c r="E205" s="29">
        <f>_XLL.VOSEBINOMIAL(C205,D205)</f>
        <v>0</v>
      </c>
      <c r="F205" s="10">
        <f>_XLL.VOSEOUTPUT(Model!B205,,"Bacteria in bottle",192)+IF(SUM($F$14:F204)&gt;=n,0,E205)</f>
        <v>0</v>
      </c>
    </row>
    <row r="206" spans="2:6" ht="12.75" hidden="1">
      <c r="B206" s="9">
        <v>193</v>
      </c>
      <c r="C206" s="21">
        <f>IF(n-SUM($F$14:F205)=0,999,n-SUM($F$14:F205))</f>
        <v>137</v>
      </c>
      <c r="D206" s="24">
        <f t="shared" si="2"/>
        <v>0.003246753246753247</v>
      </c>
      <c r="E206" s="29">
        <f>_XLL.VOSEBINOMIAL(C206,D206)</f>
        <v>0</v>
      </c>
      <c r="F206" s="10">
        <f>_XLL.VOSEOUTPUT(Model!B206,,"Bacteria in bottle",193)+IF(SUM($F$14:F205)&gt;=n,0,E206)</f>
        <v>0</v>
      </c>
    </row>
    <row r="207" spans="2:6" ht="12.75" hidden="1">
      <c r="B207" s="9">
        <v>194</v>
      </c>
      <c r="C207" s="21">
        <f>IF(n-SUM($F$14:F206)=0,999,n-SUM($F$14:F206))</f>
        <v>137</v>
      </c>
      <c r="D207" s="24">
        <f aca="true" t="shared" si="3" ref="D207:D270">B/(V-B206*B)</f>
        <v>0.003257328990228013</v>
      </c>
      <c r="E207" s="29">
        <f>_XLL.VOSEBINOMIAL(C207,D207)</f>
        <v>0</v>
      </c>
      <c r="F207" s="10">
        <f>_XLL.VOSEOUTPUT(Model!B207,,"Bacteria in bottle",194)+IF(SUM($F$14:F206)&gt;=n,0,E207)</f>
        <v>0</v>
      </c>
    </row>
    <row r="208" spans="2:6" ht="12.75" hidden="1">
      <c r="B208" s="9">
        <v>195</v>
      </c>
      <c r="C208" s="21">
        <f>IF(n-SUM($F$14:F207)=0,999,n-SUM($F$14:F207))</f>
        <v>137</v>
      </c>
      <c r="D208" s="24">
        <f t="shared" si="3"/>
        <v>0.0032679738562091504</v>
      </c>
      <c r="E208" s="29">
        <f>_XLL.VOSEBINOMIAL(C208,D208)</f>
        <v>0</v>
      </c>
      <c r="F208" s="10">
        <f>_XLL.VOSEOUTPUT(Model!B208,,"Bacteria in bottle",195)+IF(SUM($F$14:F207)&gt;=n,0,E208)</f>
        <v>0</v>
      </c>
    </row>
    <row r="209" spans="2:6" ht="12.75" hidden="1">
      <c r="B209" s="9">
        <v>196</v>
      </c>
      <c r="C209" s="21">
        <f>IF(n-SUM($F$14:F208)=0,999,n-SUM($F$14:F208))</f>
        <v>137</v>
      </c>
      <c r="D209" s="24">
        <f t="shared" si="3"/>
        <v>0.003278688524590164</v>
      </c>
      <c r="E209" s="29">
        <f>_XLL.VOSEBINOMIAL(C209,D209)</f>
        <v>0</v>
      </c>
      <c r="F209" s="10">
        <f>_XLL.VOSEOUTPUT(Model!B209,,"Bacteria in bottle",196)+IF(SUM($F$14:F208)&gt;=n,0,E209)</f>
        <v>0</v>
      </c>
    </row>
    <row r="210" spans="2:6" ht="12.75" hidden="1">
      <c r="B210" s="9">
        <v>197</v>
      </c>
      <c r="C210" s="21">
        <f>IF(n-SUM($F$14:F209)=0,999,n-SUM($F$14:F209))</f>
        <v>137</v>
      </c>
      <c r="D210" s="24">
        <f t="shared" si="3"/>
        <v>0.003289473684210526</v>
      </c>
      <c r="E210" s="29">
        <f>_XLL.VOSEBINOMIAL(C210,D210)</f>
        <v>0</v>
      </c>
      <c r="F210" s="10">
        <f>_XLL.VOSEOUTPUT(Model!B210,,"Bacteria in bottle",197)+IF(SUM($F$14:F209)&gt;=n,0,E210)</f>
        <v>0</v>
      </c>
    </row>
    <row r="211" spans="2:6" ht="12.75" hidden="1">
      <c r="B211" s="9">
        <v>198</v>
      </c>
      <c r="C211" s="21">
        <f>IF(n-SUM($F$14:F210)=0,999,n-SUM($F$14:F210))</f>
        <v>137</v>
      </c>
      <c r="D211" s="24">
        <f t="shared" si="3"/>
        <v>0.0033003300330033004</v>
      </c>
      <c r="E211" s="29">
        <f>_XLL.VOSEBINOMIAL(C211,D211)</f>
        <v>0</v>
      </c>
      <c r="F211" s="10">
        <f>_XLL.VOSEOUTPUT(Model!B211,,"Bacteria in bottle",198)+IF(SUM($F$14:F210)&gt;=n,0,E211)</f>
        <v>0</v>
      </c>
    </row>
    <row r="212" spans="2:6" ht="12.75" hidden="1">
      <c r="B212" s="9">
        <v>199</v>
      </c>
      <c r="C212" s="21">
        <f>IF(n-SUM($F$14:F211)=0,999,n-SUM($F$14:F211))</f>
        <v>137</v>
      </c>
      <c r="D212" s="24">
        <f t="shared" si="3"/>
        <v>0.0033112582781456954</v>
      </c>
      <c r="E212" s="29">
        <f>_XLL.VOSEBINOMIAL(C212,D212)</f>
        <v>0</v>
      </c>
      <c r="F212" s="10">
        <f>_XLL.VOSEOUTPUT(Model!B212,,"Bacteria in bottle",199)+IF(SUM($F$14:F211)&gt;=n,0,E212)</f>
        <v>0</v>
      </c>
    </row>
    <row r="213" spans="2:6" ht="12.75" hidden="1">
      <c r="B213" s="9">
        <v>200</v>
      </c>
      <c r="C213" s="21">
        <f>IF(n-SUM($F$14:F212)=0,999,n-SUM($F$14:F212))</f>
        <v>137</v>
      </c>
      <c r="D213" s="24">
        <f t="shared" si="3"/>
        <v>0.0033222591362126247</v>
      </c>
      <c r="E213" s="29">
        <f>_XLL.VOSEBINOMIAL(C213,D213)</f>
        <v>1</v>
      </c>
      <c r="F213" s="10">
        <f>_XLL.VOSEOUTPUT(Model!B213,,"Bacteria in bottle",200)+IF(SUM($F$14:F212)&gt;=n,0,E213)</f>
        <v>1</v>
      </c>
    </row>
    <row r="214" spans="2:6" ht="12.75" hidden="1">
      <c r="B214" s="9">
        <v>201</v>
      </c>
      <c r="C214" s="21">
        <f>IF(n-SUM($F$14:F213)=0,999,n-SUM($F$14:F213))</f>
        <v>136</v>
      </c>
      <c r="D214" s="24">
        <f t="shared" si="3"/>
        <v>0.0033333333333333335</v>
      </c>
      <c r="E214" s="29">
        <f>_XLL.VOSEBINOMIAL(C214,D214)</f>
        <v>1</v>
      </c>
      <c r="F214" s="10">
        <f>_XLL.VOSEOUTPUT(Model!B214,,"Bacteria in bottle",201)+IF(SUM($F$14:F213)&gt;=n,0,E214)</f>
        <v>1</v>
      </c>
    </row>
    <row r="215" spans="2:6" ht="12.75" hidden="1">
      <c r="B215" s="9">
        <v>202</v>
      </c>
      <c r="C215" s="21">
        <f>IF(n-SUM($F$14:F214)=0,999,n-SUM($F$14:F214))</f>
        <v>135</v>
      </c>
      <c r="D215" s="24">
        <f t="shared" si="3"/>
        <v>0.0033444816053511705</v>
      </c>
      <c r="E215" s="29">
        <f>_XLL.VOSEBINOMIAL(C215,D215)</f>
        <v>0</v>
      </c>
      <c r="F215" s="10">
        <f>_XLL.VOSEOUTPUT(Model!B215,,"Bacteria in bottle",202)+IF(SUM($F$14:F214)&gt;=n,0,E215)</f>
        <v>0</v>
      </c>
    </row>
    <row r="216" spans="2:6" ht="12.75" hidden="1">
      <c r="B216" s="9">
        <v>203</v>
      </c>
      <c r="C216" s="21">
        <f>IF(n-SUM($F$14:F215)=0,999,n-SUM($F$14:F215))</f>
        <v>135</v>
      </c>
      <c r="D216" s="24">
        <f t="shared" si="3"/>
        <v>0.003355704697986577</v>
      </c>
      <c r="E216" s="29">
        <f>_XLL.VOSEBINOMIAL(C216,D216)</f>
        <v>1</v>
      </c>
      <c r="F216" s="10">
        <f>_XLL.VOSEOUTPUT(Model!B216,,"Bacteria in bottle",203)+IF(SUM($F$14:F215)&gt;=n,0,E216)</f>
        <v>1</v>
      </c>
    </row>
    <row r="217" spans="2:6" ht="12.75" hidden="1">
      <c r="B217" s="9">
        <v>204</v>
      </c>
      <c r="C217" s="21">
        <f>IF(n-SUM($F$14:F216)=0,999,n-SUM($F$14:F216))</f>
        <v>134</v>
      </c>
      <c r="D217" s="24">
        <f t="shared" si="3"/>
        <v>0.003367003367003367</v>
      </c>
      <c r="E217" s="29">
        <f>_XLL.VOSEBINOMIAL(C217,D217)</f>
        <v>0</v>
      </c>
      <c r="F217" s="10">
        <f>_XLL.VOSEOUTPUT(Model!B217,,"Bacteria in bottle",204)+IF(SUM($F$14:F216)&gt;=n,0,E217)</f>
        <v>0</v>
      </c>
    </row>
    <row r="218" spans="2:6" ht="12.75" hidden="1">
      <c r="B218" s="9">
        <v>205</v>
      </c>
      <c r="C218" s="21">
        <f>IF(n-SUM($F$14:F217)=0,999,n-SUM($F$14:F217))</f>
        <v>134</v>
      </c>
      <c r="D218" s="24">
        <f t="shared" si="3"/>
        <v>0.0033783783783783786</v>
      </c>
      <c r="E218" s="29">
        <f>_XLL.VOSEBINOMIAL(C218,D218)</f>
        <v>0</v>
      </c>
      <c r="F218" s="10">
        <f>_XLL.VOSEOUTPUT(Model!B218,,"Bacteria in bottle",205)+IF(SUM($F$14:F217)&gt;=n,0,E218)</f>
        <v>0</v>
      </c>
    </row>
    <row r="219" spans="2:6" ht="12.75" hidden="1">
      <c r="B219" s="9">
        <v>206</v>
      </c>
      <c r="C219" s="21">
        <f>IF(n-SUM($F$14:F218)=0,999,n-SUM($F$14:F218))</f>
        <v>134</v>
      </c>
      <c r="D219" s="24">
        <f t="shared" si="3"/>
        <v>0.003389830508474576</v>
      </c>
      <c r="E219" s="29">
        <f>_XLL.VOSEBINOMIAL(C219,D219)</f>
        <v>0</v>
      </c>
      <c r="F219" s="10">
        <f>_XLL.VOSEOUTPUT(Model!B219,,"Bacteria in bottle",206)+IF(SUM($F$14:F218)&gt;=n,0,E219)</f>
        <v>0</v>
      </c>
    </row>
    <row r="220" spans="2:6" ht="12.75" hidden="1">
      <c r="B220" s="9">
        <v>207</v>
      </c>
      <c r="C220" s="21">
        <f>IF(n-SUM($F$14:F219)=0,999,n-SUM($F$14:F219))</f>
        <v>134</v>
      </c>
      <c r="D220" s="24">
        <f t="shared" si="3"/>
        <v>0.003401360544217687</v>
      </c>
      <c r="E220" s="29">
        <f>_XLL.VOSEBINOMIAL(C220,D220)</f>
        <v>0</v>
      </c>
      <c r="F220" s="10">
        <f>_XLL.VOSEOUTPUT(Model!B220,,"Bacteria in bottle",207)+IF(SUM($F$14:F219)&gt;=n,0,E220)</f>
        <v>0</v>
      </c>
    </row>
    <row r="221" spans="2:6" ht="12.75" hidden="1">
      <c r="B221" s="9">
        <v>208</v>
      </c>
      <c r="C221" s="21">
        <f>IF(n-SUM($F$14:F220)=0,999,n-SUM($F$14:F220))</f>
        <v>134</v>
      </c>
      <c r="D221" s="24">
        <f t="shared" si="3"/>
        <v>0.0034129692832764505</v>
      </c>
      <c r="E221" s="29">
        <f>_XLL.VOSEBINOMIAL(C221,D221)</f>
        <v>0</v>
      </c>
      <c r="F221" s="10">
        <f>_XLL.VOSEOUTPUT(Model!B221,,"Bacteria in bottle",208)+IF(SUM($F$14:F220)&gt;=n,0,E221)</f>
        <v>0</v>
      </c>
    </row>
    <row r="222" spans="2:6" ht="12.75" hidden="1">
      <c r="B222" s="9">
        <v>209</v>
      </c>
      <c r="C222" s="21">
        <f>IF(n-SUM($F$14:F221)=0,999,n-SUM($F$14:F221))</f>
        <v>134</v>
      </c>
      <c r="D222" s="24">
        <f t="shared" si="3"/>
        <v>0.003424657534246575</v>
      </c>
      <c r="E222" s="29">
        <f>_XLL.VOSEBINOMIAL(C222,D222)</f>
        <v>0</v>
      </c>
      <c r="F222" s="10">
        <f>_XLL.VOSEOUTPUT(Model!B222,,"Bacteria in bottle",209)+IF(SUM($F$14:F221)&gt;=n,0,E222)</f>
        <v>0</v>
      </c>
    </row>
    <row r="223" spans="2:6" ht="12.75" hidden="1">
      <c r="B223" s="9">
        <v>210</v>
      </c>
      <c r="C223" s="21">
        <f>IF(n-SUM($F$14:F222)=0,999,n-SUM($F$14:F222))</f>
        <v>134</v>
      </c>
      <c r="D223" s="24">
        <f t="shared" si="3"/>
        <v>0.003436426116838488</v>
      </c>
      <c r="E223" s="29">
        <f>_XLL.VOSEBINOMIAL(C223,D223)</f>
        <v>2</v>
      </c>
      <c r="F223" s="10">
        <f>_XLL.VOSEOUTPUT(Model!B223,,"Bacteria in bottle",210)+IF(SUM($F$14:F222)&gt;=n,0,E223)</f>
        <v>2</v>
      </c>
    </row>
    <row r="224" spans="2:6" ht="12.75" hidden="1">
      <c r="B224" s="9">
        <v>211</v>
      </c>
      <c r="C224" s="21">
        <f>IF(n-SUM($F$14:F223)=0,999,n-SUM($F$14:F223))</f>
        <v>132</v>
      </c>
      <c r="D224" s="24">
        <f t="shared" si="3"/>
        <v>0.0034482758620689655</v>
      </c>
      <c r="E224" s="29">
        <f>_XLL.VOSEBINOMIAL(C224,D224)</f>
        <v>0</v>
      </c>
      <c r="F224" s="10">
        <f>_XLL.VOSEOUTPUT(Model!B224,,"Bacteria in bottle",211)+IF(SUM($F$14:F223)&gt;=n,0,E224)</f>
        <v>0</v>
      </c>
    </row>
    <row r="225" spans="2:6" ht="12.75" hidden="1">
      <c r="B225" s="9">
        <v>212</v>
      </c>
      <c r="C225" s="21">
        <f>IF(n-SUM($F$14:F224)=0,999,n-SUM($F$14:F224))</f>
        <v>132</v>
      </c>
      <c r="D225" s="24">
        <f t="shared" si="3"/>
        <v>0.0034602076124567475</v>
      </c>
      <c r="E225" s="29">
        <f>_XLL.VOSEBINOMIAL(C225,D225)</f>
        <v>0</v>
      </c>
      <c r="F225" s="10">
        <f>_XLL.VOSEOUTPUT(Model!B225,,"Bacteria in bottle",212)+IF(SUM($F$14:F224)&gt;=n,0,E225)</f>
        <v>0</v>
      </c>
    </row>
    <row r="226" spans="2:6" ht="12.75" hidden="1">
      <c r="B226" s="9">
        <v>213</v>
      </c>
      <c r="C226" s="21">
        <f>IF(n-SUM($F$14:F225)=0,999,n-SUM($F$14:F225))</f>
        <v>132</v>
      </c>
      <c r="D226" s="24">
        <f t="shared" si="3"/>
        <v>0.003472222222222222</v>
      </c>
      <c r="E226" s="29">
        <f>_XLL.VOSEBINOMIAL(C226,D226)</f>
        <v>0</v>
      </c>
      <c r="F226" s="10">
        <f>_XLL.VOSEOUTPUT(Model!B226,,"Bacteria in bottle",213)+IF(SUM($F$14:F225)&gt;=n,0,E226)</f>
        <v>0</v>
      </c>
    </row>
    <row r="227" spans="2:6" ht="12.75" hidden="1">
      <c r="B227" s="9">
        <v>214</v>
      </c>
      <c r="C227" s="21">
        <f>IF(n-SUM($F$14:F226)=0,999,n-SUM($F$14:F226))</f>
        <v>132</v>
      </c>
      <c r="D227" s="24">
        <f t="shared" si="3"/>
        <v>0.003484320557491289</v>
      </c>
      <c r="E227" s="29">
        <f>_XLL.VOSEBINOMIAL(C227,D227)</f>
        <v>0</v>
      </c>
      <c r="F227" s="10">
        <f>_XLL.VOSEOUTPUT(Model!B227,,"Bacteria in bottle",214)+IF(SUM($F$14:F226)&gt;=n,0,E227)</f>
        <v>0</v>
      </c>
    </row>
    <row r="228" spans="2:6" ht="12.75" hidden="1">
      <c r="B228" s="9">
        <v>215</v>
      </c>
      <c r="C228" s="21">
        <f>IF(n-SUM($F$14:F227)=0,999,n-SUM($F$14:F227))</f>
        <v>132</v>
      </c>
      <c r="D228" s="24">
        <f t="shared" si="3"/>
        <v>0.0034965034965034965</v>
      </c>
      <c r="E228" s="29">
        <f>_XLL.VOSEBINOMIAL(C228,D228)</f>
        <v>1</v>
      </c>
      <c r="F228" s="10">
        <f>_XLL.VOSEOUTPUT(Model!B228,,"Bacteria in bottle",215)+IF(SUM($F$14:F227)&gt;=n,0,E228)</f>
        <v>1</v>
      </c>
    </row>
    <row r="229" spans="2:6" ht="12.75" hidden="1">
      <c r="B229" s="9">
        <v>216</v>
      </c>
      <c r="C229" s="21">
        <f>IF(n-SUM($F$14:F228)=0,999,n-SUM($F$14:F228))</f>
        <v>131</v>
      </c>
      <c r="D229" s="24">
        <f t="shared" si="3"/>
        <v>0.0035087719298245615</v>
      </c>
      <c r="E229" s="29">
        <f>_XLL.VOSEBINOMIAL(C229,D229)</f>
        <v>1</v>
      </c>
      <c r="F229" s="10">
        <f>_XLL.VOSEOUTPUT(Model!B229,,"Bacteria in bottle",216)+IF(SUM($F$14:F228)&gt;=n,0,E229)</f>
        <v>1</v>
      </c>
    </row>
    <row r="230" spans="2:6" ht="12.75" hidden="1">
      <c r="B230" s="9">
        <v>217</v>
      </c>
      <c r="C230" s="21">
        <f>IF(n-SUM($F$14:F229)=0,999,n-SUM($F$14:F229))</f>
        <v>130</v>
      </c>
      <c r="D230" s="24">
        <f t="shared" si="3"/>
        <v>0.0035211267605633804</v>
      </c>
      <c r="E230" s="29">
        <f>_XLL.VOSEBINOMIAL(C230,D230)</f>
        <v>0</v>
      </c>
      <c r="F230" s="10">
        <f>_XLL.VOSEOUTPUT(Model!B230,,"Bacteria in bottle",217)+IF(SUM($F$14:F229)&gt;=n,0,E230)</f>
        <v>0</v>
      </c>
    </row>
    <row r="231" spans="2:6" ht="12.75" hidden="1">
      <c r="B231" s="9">
        <v>218</v>
      </c>
      <c r="C231" s="21">
        <f>IF(n-SUM($F$14:F230)=0,999,n-SUM($F$14:F230))</f>
        <v>130</v>
      </c>
      <c r="D231" s="24">
        <f t="shared" si="3"/>
        <v>0.0035335689045936395</v>
      </c>
      <c r="E231" s="29">
        <f>_XLL.VOSEBINOMIAL(C231,D231)</f>
        <v>1</v>
      </c>
      <c r="F231" s="10">
        <f>_XLL.VOSEOUTPUT(Model!B231,,"Bacteria in bottle",218)+IF(SUM($F$14:F230)&gt;=n,0,E231)</f>
        <v>1</v>
      </c>
    </row>
    <row r="232" spans="2:6" ht="12.75" hidden="1">
      <c r="B232" s="9">
        <v>219</v>
      </c>
      <c r="C232" s="21">
        <f>IF(n-SUM($F$14:F231)=0,999,n-SUM($F$14:F231))</f>
        <v>129</v>
      </c>
      <c r="D232" s="24">
        <f t="shared" si="3"/>
        <v>0.0035460992907801418</v>
      </c>
      <c r="E232" s="29">
        <f>_XLL.VOSEBINOMIAL(C232,D232)</f>
        <v>0</v>
      </c>
      <c r="F232" s="10">
        <f>_XLL.VOSEOUTPUT(Model!B232,,"Bacteria in bottle",219)+IF(SUM($F$14:F231)&gt;=n,0,E232)</f>
        <v>0</v>
      </c>
    </row>
    <row r="233" spans="2:6" ht="12.75" hidden="1">
      <c r="B233" s="9">
        <v>220</v>
      </c>
      <c r="C233" s="21">
        <f>IF(n-SUM($F$14:F232)=0,999,n-SUM($F$14:F232))</f>
        <v>129</v>
      </c>
      <c r="D233" s="24">
        <f t="shared" si="3"/>
        <v>0.0035587188612099642</v>
      </c>
      <c r="E233" s="29">
        <f>_XLL.VOSEBINOMIAL(C233,D233)</f>
        <v>0</v>
      </c>
      <c r="F233" s="10">
        <f>_XLL.VOSEOUTPUT(Model!B233,,"Bacteria in bottle",220)+IF(SUM($F$14:F232)&gt;=n,0,E233)</f>
        <v>0</v>
      </c>
    </row>
    <row r="234" spans="2:6" ht="12.75" hidden="1">
      <c r="B234" s="9">
        <v>221</v>
      </c>
      <c r="C234" s="21">
        <f>IF(n-SUM($F$14:F233)=0,999,n-SUM($F$14:F233))</f>
        <v>129</v>
      </c>
      <c r="D234" s="24">
        <f t="shared" si="3"/>
        <v>0.0035714285714285713</v>
      </c>
      <c r="E234" s="29">
        <f>_XLL.VOSEBINOMIAL(C234,D234)</f>
        <v>3</v>
      </c>
      <c r="F234" s="10">
        <f>_XLL.VOSEOUTPUT(Model!B234,,"Bacteria in bottle",221)+IF(SUM($F$14:F233)&gt;=n,0,E234)</f>
        <v>3</v>
      </c>
    </row>
    <row r="235" spans="2:6" ht="12.75" hidden="1">
      <c r="B235" s="9">
        <v>222</v>
      </c>
      <c r="C235" s="21">
        <f>IF(n-SUM($F$14:F234)=0,999,n-SUM($F$14:F234))</f>
        <v>126</v>
      </c>
      <c r="D235" s="24">
        <f t="shared" si="3"/>
        <v>0.0035842293906810036</v>
      </c>
      <c r="E235" s="29">
        <f>_XLL.VOSEBINOMIAL(C235,D235)</f>
        <v>1</v>
      </c>
      <c r="F235" s="10">
        <f>_XLL.VOSEOUTPUT(Model!B235,,"Bacteria in bottle",222)+IF(SUM($F$14:F234)&gt;=n,0,E235)</f>
        <v>1</v>
      </c>
    </row>
    <row r="236" spans="2:6" ht="12.75" hidden="1">
      <c r="B236" s="9">
        <v>223</v>
      </c>
      <c r="C236" s="21">
        <f>IF(n-SUM($F$14:F235)=0,999,n-SUM($F$14:F235))</f>
        <v>125</v>
      </c>
      <c r="D236" s="24">
        <f t="shared" si="3"/>
        <v>0.0035971223021582736</v>
      </c>
      <c r="E236" s="29">
        <f>_XLL.VOSEBINOMIAL(C236,D236)</f>
        <v>0</v>
      </c>
      <c r="F236" s="10">
        <f>_XLL.VOSEOUTPUT(Model!B236,,"Bacteria in bottle",223)+IF(SUM($F$14:F235)&gt;=n,0,E236)</f>
        <v>0</v>
      </c>
    </row>
    <row r="237" spans="2:6" ht="12.75" hidden="1">
      <c r="B237" s="9">
        <v>224</v>
      </c>
      <c r="C237" s="21">
        <f>IF(n-SUM($F$14:F236)=0,999,n-SUM($F$14:F236))</f>
        <v>125</v>
      </c>
      <c r="D237" s="24">
        <f t="shared" si="3"/>
        <v>0.0036101083032490976</v>
      </c>
      <c r="E237" s="29">
        <f>_XLL.VOSEBINOMIAL(C237,D237)</f>
        <v>0</v>
      </c>
      <c r="F237" s="10">
        <f>_XLL.VOSEOUTPUT(Model!B237,,"Bacteria in bottle",224)+IF(SUM($F$14:F236)&gt;=n,0,E237)</f>
        <v>0</v>
      </c>
    </row>
    <row r="238" spans="2:6" ht="12.75" hidden="1">
      <c r="B238" s="9">
        <v>225</v>
      </c>
      <c r="C238" s="21">
        <f>IF(n-SUM($F$14:F237)=0,999,n-SUM($F$14:F237))</f>
        <v>125</v>
      </c>
      <c r="D238" s="24">
        <f t="shared" si="3"/>
        <v>0.0036231884057971015</v>
      </c>
      <c r="E238" s="29">
        <f>_XLL.VOSEBINOMIAL(C238,D238)</f>
        <v>0</v>
      </c>
      <c r="F238" s="10">
        <f>_XLL.VOSEOUTPUT(Model!B238,,"Bacteria in bottle",225)+IF(SUM($F$14:F237)&gt;=n,0,E238)</f>
        <v>0</v>
      </c>
    </row>
    <row r="239" spans="2:6" ht="12.75" hidden="1">
      <c r="B239" s="9">
        <v>226</v>
      </c>
      <c r="C239" s="21">
        <f>IF(n-SUM($F$14:F238)=0,999,n-SUM($F$14:F238))</f>
        <v>125</v>
      </c>
      <c r="D239" s="24">
        <f t="shared" si="3"/>
        <v>0.0036363636363636364</v>
      </c>
      <c r="E239" s="29">
        <f>_XLL.VOSEBINOMIAL(C239,D239)</f>
        <v>0</v>
      </c>
      <c r="F239" s="10">
        <f>_XLL.VOSEOUTPUT(Model!B239,,"Bacteria in bottle",226)+IF(SUM($F$14:F238)&gt;=n,0,E239)</f>
        <v>0</v>
      </c>
    </row>
    <row r="240" spans="2:6" ht="12.75" hidden="1">
      <c r="B240" s="9">
        <v>227</v>
      </c>
      <c r="C240" s="21">
        <f>IF(n-SUM($F$14:F239)=0,999,n-SUM($F$14:F239))</f>
        <v>125</v>
      </c>
      <c r="D240" s="24">
        <f t="shared" si="3"/>
        <v>0.0036496350364963502</v>
      </c>
      <c r="E240" s="29">
        <f>_XLL.VOSEBINOMIAL(C240,D240)</f>
        <v>2</v>
      </c>
      <c r="F240" s="10">
        <f>_XLL.VOSEOUTPUT(Model!B240,,"Bacteria in bottle",227)+IF(SUM($F$14:F239)&gt;=n,0,E240)</f>
        <v>2</v>
      </c>
    </row>
    <row r="241" spans="2:6" ht="12.75" hidden="1">
      <c r="B241" s="9">
        <v>228</v>
      </c>
      <c r="C241" s="21">
        <f>IF(n-SUM($F$14:F240)=0,999,n-SUM($F$14:F240))</f>
        <v>123</v>
      </c>
      <c r="D241" s="24">
        <f t="shared" si="3"/>
        <v>0.003663003663003663</v>
      </c>
      <c r="E241" s="29">
        <f>_XLL.VOSEBINOMIAL(C241,D241)</f>
        <v>0</v>
      </c>
      <c r="F241" s="10">
        <f>_XLL.VOSEOUTPUT(Model!B241,,"Bacteria in bottle",228)+IF(SUM($F$14:F240)&gt;=n,0,E241)</f>
        <v>0</v>
      </c>
    </row>
    <row r="242" spans="2:6" ht="12.75" hidden="1">
      <c r="B242" s="9">
        <v>229</v>
      </c>
      <c r="C242" s="21">
        <f>IF(n-SUM($F$14:F241)=0,999,n-SUM($F$14:F241))</f>
        <v>123</v>
      </c>
      <c r="D242" s="24">
        <f t="shared" si="3"/>
        <v>0.003676470588235294</v>
      </c>
      <c r="E242" s="29">
        <f>_XLL.VOSEBINOMIAL(C242,D242)</f>
        <v>3</v>
      </c>
      <c r="F242" s="10">
        <f>_XLL.VOSEOUTPUT(Model!B242,,"Bacteria in bottle",229)+IF(SUM($F$14:F241)&gt;=n,0,E242)</f>
        <v>3</v>
      </c>
    </row>
    <row r="243" spans="2:6" ht="12.75" hidden="1">
      <c r="B243" s="9">
        <v>230</v>
      </c>
      <c r="C243" s="21">
        <f>IF(n-SUM($F$14:F242)=0,999,n-SUM($F$14:F242))</f>
        <v>120</v>
      </c>
      <c r="D243" s="24">
        <f t="shared" si="3"/>
        <v>0.0036900369003690036</v>
      </c>
      <c r="E243" s="29">
        <f>_XLL.VOSEBINOMIAL(C243,D243)</f>
        <v>0</v>
      </c>
      <c r="F243" s="10">
        <f>_XLL.VOSEOUTPUT(Model!B243,,"Bacteria in bottle",230)+IF(SUM($F$14:F242)&gt;=n,0,E243)</f>
        <v>0</v>
      </c>
    </row>
    <row r="244" spans="2:6" ht="12.75" hidden="1">
      <c r="B244" s="9">
        <v>231</v>
      </c>
      <c r="C244" s="21">
        <f>IF(n-SUM($F$14:F243)=0,999,n-SUM($F$14:F243))</f>
        <v>120</v>
      </c>
      <c r="D244" s="24">
        <f t="shared" si="3"/>
        <v>0.003703703703703704</v>
      </c>
      <c r="E244" s="29">
        <f>_XLL.VOSEBINOMIAL(C244,D244)</f>
        <v>0</v>
      </c>
      <c r="F244" s="10">
        <f>_XLL.VOSEOUTPUT(Model!B244,,"Bacteria in bottle",231)+IF(SUM($F$14:F243)&gt;=n,0,E244)</f>
        <v>0</v>
      </c>
    </row>
    <row r="245" spans="2:6" ht="12.75" hidden="1">
      <c r="B245" s="9">
        <v>232</v>
      </c>
      <c r="C245" s="21">
        <f>IF(n-SUM($F$14:F244)=0,999,n-SUM($F$14:F244))</f>
        <v>120</v>
      </c>
      <c r="D245" s="24">
        <f t="shared" si="3"/>
        <v>0.0037174721189591076</v>
      </c>
      <c r="E245" s="29">
        <f>_XLL.VOSEBINOMIAL(C245,D245)</f>
        <v>0</v>
      </c>
      <c r="F245" s="10">
        <f>_XLL.VOSEOUTPUT(Model!B245,,"Bacteria in bottle",232)+IF(SUM($F$14:F244)&gt;=n,0,E245)</f>
        <v>0</v>
      </c>
    </row>
    <row r="246" spans="2:6" ht="12.75" hidden="1">
      <c r="B246" s="9">
        <v>233</v>
      </c>
      <c r="C246" s="21">
        <f>IF(n-SUM($F$14:F245)=0,999,n-SUM($F$14:F245))</f>
        <v>120</v>
      </c>
      <c r="D246" s="24">
        <f t="shared" si="3"/>
        <v>0.0037313432835820895</v>
      </c>
      <c r="E246" s="29">
        <f>_XLL.VOSEBINOMIAL(C246,D246)</f>
        <v>0</v>
      </c>
      <c r="F246" s="10">
        <f>_XLL.VOSEOUTPUT(Model!B246,,"Bacteria in bottle",233)+IF(SUM($F$14:F245)&gt;=n,0,E246)</f>
        <v>0</v>
      </c>
    </row>
    <row r="247" spans="2:6" ht="12.75" hidden="1">
      <c r="B247" s="9">
        <v>234</v>
      </c>
      <c r="C247" s="21">
        <f>IF(n-SUM($F$14:F246)=0,999,n-SUM($F$14:F246))</f>
        <v>120</v>
      </c>
      <c r="D247" s="24">
        <f t="shared" si="3"/>
        <v>0.003745318352059925</v>
      </c>
      <c r="E247" s="29">
        <f>_XLL.VOSEBINOMIAL(C247,D247)</f>
        <v>0</v>
      </c>
      <c r="F247" s="10">
        <f>_XLL.VOSEOUTPUT(Model!B247,,"Bacteria in bottle",234)+IF(SUM($F$14:F246)&gt;=n,0,E247)</f>
        <v>0</v>
      </c>
    </row>
    <row r="248" spans="2:6" ht="12.75" hidden="1">
      <c r="B248" s="9">
        <v>235</v>
      </c>
      <c r="C248" s="21">
        <f>IF(n-SUM($F$14:F247)=0,999,n-SUM($F$14:F247))</f>
        <v>120</v>
      </c>
      <c r="D248" s="24">
        <f t="shared" si="3"/>
        <v>0.0037593984962406013</v>
      </c>
      <c r="E248" s="29">
        <f>_XLL.VOSEBINOMIAL(C248,D248)</f>
        <v>1</v>
      </c>
      <c r="F248" s="10">
        <f>_XLL.VOSEOUTPUT(Model!B248,,"Bacteria in bottle",235)+IF(SUM($F$14:F247)&gt;=n,0,E248)</f>
        <v>1</v>
      </c>
    </row>
    <row r="249" spans="2:6" ht="12.75" hidden="1">
      <c r="B249" s="9">
        <v>236</v>
      </c>
      <c r="C249" s="21">
        <f>IF(n-SUM($F$14:F248)=0,999,n-SUM($F$14:F248))</f>
        <v>119</v>
      </c>
      <c r="D249" s="24">
        <f t="shared" si="3"/>
        <v>0.0037735849056603774</v>
      </c>
      <c r="E249" s="29">
        <f>_XLL.VOSEBINOMIAL(C249,D249)</f>
        <v>0</v>
      </c>
      <c r="F249" s="10">
        <f>_XLL.VOSEOUTPUT(Model!B249,,"Bacteria in bottle",236)+IF(SUM($F$14:F248)&gt;=n,0,E249)</f>
        <v>0</v>
      </c>
    </row>
    <row r="250" spans="2:6" ht="12.75" hidden="1">
      <c r="B250" s="9">
        <v>237</v>
      </c>
      <c r="C250" s="21">
        <f>IF(n-SUM($F$14:F249)=0,999,n-SUM($F$14:F249))</f>
        <v>119</v>
      </c>
      <c r="D250" s="24">
        <f t="shared" si="3"/>
        <v>0.003787878787878788</v>
      </c>
      <c r="E250" s="29">
        <f>_XLL.VOSEBINOMIAL(C250,D250)</f>
        <v>0</v>
      </c>
      <c r="F250" s="10">
        <f>_XLL.VOSEOUTPUT(Model!B250,,"Bacteria in bottle",237)+IF(SUM($F$14:F249)&gt;=n,0,E250)</f>
        <v>0</v>
      </c>
    </row>
    <row r="251" spans="2:6" ht="12.75" hidden="1">
      <c r="B251" s="9">
        <v>238</v>
      </c>
      <c r="C251" s="21">
        <f>IF(n-SUM($F$14:F250)=0,999,n-SUM($F$14:F250))</f>
        <v>119</v>
      </c>
      <c r="D251" s="24">
        <f t="shared" si="3"/>
        <v>0.0038022813688212928</v>
      </c>
      <c r="E251" s="29">
        <f>_XLL.VOSEBINOMIAL(C251,D251)</f>
        <v>0</v>
      </c>
      <c r="F251" s="10">
        <f>_XLL.VOSEOUTPUT(Model!B251,,"Bacteria in bottle",238)+IF(SUM($F$14:F250)&gt;=n,0,E251)</f>
        <v>0</v>
      </c>
    </row>
    <row r="252" spans="2:6" ht="12.75" hidden="1">
      <c r="B252" s="9">
        <v>239</v>
      </c>
      <c r="C252" s="21">
        <f>IF(n-SUM($F$14:F251)=0,999,n-SUM($F$14:F251))</f>
        <v>119</v>
      </c>
      <c r="D252" s="24">
        <f t="shared" si="3"/>
        <v>0.003816793893129771</v>
      </c>
      <c r="E252" s="29">
        <f>_XLL.VOSEBINOMIAL(C252,D252)</f>
        <v>0</v>
      </c>
      <c r="F252" s="10">
        <f>_XLL.VOSEOUTPUT(Model!B252,,"Bacteria in bottle",239)+IF(SUM($F$14:F251)&gt;=n,0,E252)</f>
        <v>0</v>
      </c>
    </row>
    <row r="253" spans="2:6" ht="12.75" hidden="1">
      <c r="B253" s="9">
        <v>240</v>
      </c>
      <c r="C253" s="21">
        <f>IF(n-SUM($F$14:F252)=0,999,n-SUM($F$14:F252))</f>
        <v>119</v>
      </c>
      <c r="D253" s="24">
        <f t="shared" si="3"/>
        <v>0.0038314176245210726</v>
      </c>
      <c r="E253" s="29">
        <f>_XLL.VOSEBINOMIAL(C253,D253)</f>
        <v>0</v>
      </c>
      <c r="F253" s="10">
        <f>_XLL.VOSEOUTPUT(Model!B253,,"Bacteria in bottle",240)+IF(SUM($F$14:F252)&gt;=n,0,E253)</f>
        <v>0</v>
      </c>
    </row>
    <row r="254" spans="2:6" ht="12.75" hidden="1">
      <c r="B254" s="9">
        <v>241</v>
      </c>
      <c r="C254" s="21">
        <f>IF(n-SUM($F$14:F253)=0,999,n-SUM($F$14:F253))</f>
        <v>119</v>
      </c>
      <c r="D254" s="24">
        <f t="shared" si="3"/>
        <v>0.0038461538461538464</v>
      </c>
      <c r="E254" s="29">
        <f>_XLL.VOSEBINOMIAL(C254,D254)</f>
        <v>1</v>
      </c>
      <c r="F254" s="10">
        <f>_XLL.VOSEOUTPUT(Model!B254,,"Bacteria in bottle",241)+IF(SUM($F$14:F253)&gt;=n,0,E254)</f>
        <v>1</v>
      </c>
    </row>
    <row r="255" spans="2:6" ht="12.75" hidden="1">
      <c r="B255" s="9">
        <v>242</v>
      </c>
      <c r="C255" s="21">
        <f>IF(n-SUM($F$14:F254)=0,999,n-SUM($F$14:F254))</f>
        <v>118</v>
      </c>
      <c r="D255" s="24">
        <f t="shared" si="3"/>
        <v>0.003861003861003861</v>
      </c>
      <c r="E255" s="29">
        <f>_XLL.VOSEBINOMIAL(C255,D255)</f>
        <v>2</v>
      </c>
      <c r="F255" s="10">
        <f>_XLL.VOSEOUTPUT(Model!B255,,"Bacteria in bottle",242)+IF(SUM($F$14:F254)&gt;=n,0,E255)</f>
        <v>2</v>
      </c>
    </row>
    <row r="256" spans="2:6" ht="12.75" hidden="1">
      <c r="B256" s="9">
        <v>243</v>
      </c>
      <c r="C256" s="21">
        <f>IF(n-SUM($F$14:F255)=0,999,n-SUM($F$14:F255))</f>
        <v>116</v>
      </c>
      <c r="D256" s="24">
        <f t="shared" si="3"/>
        <v>0.003875968992248062</v>
      </c>
      <c r="E256" s="29">
        <f>_XLL.VOSEBINOMIAL(C256,D256)</f>
        <v>1</v>
      </c>
      <c r="F256" s="10">
        <f>_XLL.VOSEOUTPUT(Model!B256,,"Bacteria in bottle",243)+IF(SUM($F$14:F255)&gt;=n,0,E256)</f>
        <v>1</v>
      </c>
    </row>
    <row r="257" spans="2:6" ht="12.75" hidden="1">
      <c r="B257" s="9">
        <v>244</v>
      </c>
      <c r="C257" s="21">
        <f>IF(n-SUM($F$14:F256)=0,999,n-SUM($F$14:F256))</f>
        <v>115</v>
      </c>
      <c r="D257" s="24">
        <f t="shared" si="3"/>
        <v>0.0038910505836575876</v>
      </c>
      <c r="E257" s="29">
        <f>_XLL.VOSEBINOMIAL(C257,D257)</f>
        <v>1</v>
      </c>
      <c r="F257" s="10">
        <f>_XLL.VOSEOUTPUT(Model!B257,,"Bacteria in bottle",244)+IF(SUM($F$14:F256)&gt;=n,0,E257)</f>
        <v>1</v>
      </c>
    </row>
    <row r="258" spans="2:6" ht="12.75" hidden="1">
      <c r="B258" s="9">
        <v>245</v>
      </c>
      <c r="C258" s="21">
        <f>IF(n-SUM($F$14:F257)=0,999,n-SUM($F$14:F257))</f>
        <v>114</v>
      </c>
      <c r="D258" s="24">
        <f t="shared" si="3"/>
        <v>0.00390625</v>
      </c>
      <c r="E258" s="29">
        <f>_XLL.VOSEBINOMIAL(C258,D258)</f>
        <v>0</v>
      </c>
      <c r="F258" s="10">
        <f>_XLL.VOSEOUTPUT(Model!B258,,"Bacteria in bottle",245)+IF(SUM($F$14:F257)&gt;=n,0,E258)</f>
        <v>0</v>
      </c>
    </row>
    <row r="259" spans="2:6" ht="12.75" hidden="1">
      <c r="B259" s="9">
        <v>246</v>
      </c>
      <c r="C259" s="21">
        <f>IF(n-SUM($F$14:F258)=0,999,n-SUM($F$14:F258))</f>
        <v>114</v>
      </c>
      <c r="D259" s="24">
        <f t="shared" si="3"/>
        <v>0.00392156862745098</v>
      </c>
      <c r="E259" s="29">
        <f>_XLL.VOSEBINOMIAL(C259,D259)</f>
        <v>2</v>
      </c>
      <c r="F259" s="10">
        <f>_XLL.VOSEOUTPUT(Model!B259,,"Bacteria in bottle",246)+IF(SUM($F$14:F258)&gt;=n,0,E259)</f>
        <v>2</v>
      </c>
    </row>
    <row r="260" spans="2:6" ht="12.75" hidden="1">
      <c r="B260" s="9">
        <v>247</v>
      </c>
      <c r="C260" s="21">
        <f>IF(n-SUM($F$14:F259)=0,999,n-SUM($F$14:F259))</f>
        <v>112</v>
      </c>
      <c r="D260" s="24">
        <f t="shared" si="3"/>
        <v>0.003937007874015748</v>
      </c>
      <c r="E260" s="29">
        <f>_XLL.VOSEBINOMIAL(C260,D260)</f>
        <v>0</v>
      </c>
      <c r="F260" s="10">
        <f>_XLL.VOSEOUTPUT(Model!B260,,"Bacteria in bottle",247)+IF(SUM($F$14:F259)&gt;=n,0,E260)</f>
        <v>0</v>
      </c>
    </row>
    <row r="261" spans="2:6" ht="12.75" hidden="1">
      <c r="B261" s="9">
        <v>248</v>
      </c>
      <c r="C261" s="21">
        <f>IF(n-SUM($F$14:F260)=0,999,n-SUM($F$14:F260))</f>
        <v>112</v>
      </c>
      <c r="D261" s="24">
        <f t="shared" si="3"/>
        <v>0.003952569169960474</v>
      </c>
      <c r="E261" s="29">
        <f>_XLL.VOSEBINOMIAL(C261,D261)</f>
        <v>1</v>
      </c>
      <c r="F261" s="10">
        <f>_XLL.VOSEOUTPUT(Model!B261,,"Bacteria in bottle",248)+IF(SUM($F$14:F260)&gt;=n,0,E261)</f>
        <v>1</v>
      </c>
    </row>
    <row r="262" spans="2:6" ht="12.75" hidden="1">
      <c r="B262" s="9">
        <v>249</v>
      </c>
      <c r="C262" s="21">
        <f>IF(n-SUM($F$14:F261)=0,999,n-SUM($F$14:F261))</f>
        <v>111</v>
      </c>
      <c r="D262" s="24">
        <f t="shared" si="3"/>
        <v>0.003968253968253968</v>
      </c>
      <c r="E262" s="29">
        <f>_XLL.VOSEBINOMIAL(C262,D262)</f>
        <v>1</v>
      </c>
      <c r="F262" s="10">
        <f>_XLL.VOSEOUTPUT(Model!B262,,"Bacteria in bottle",249)+IF(SUM($F$14:F261)&gt;=n,0,E262)</f>
        <v>1</v>
      </c>
    </row>
    <row r="263" spans="2:6" ht="12.75" hidden="1">
      <c r="B263" s="9">
        <v>250</v>
      </c>
      <c r="C263" s="21">
        <f>IF(n-SUM($F$14:F262)=0,999,n-SUM($F$14:F262))</f>
        <v>110</v>
      </c>
      <c r="D263" s="24">
        <f t="shared" si="3"/>
        <v>0.00398406374501992</v>
      </c>
      <c r="E263" s="29">
        <f>_XLL.VOSEBINOMIAL(C263,D263)</f>
        <v>0</v>
      </c>
      <c r="F263" s="10">
        <f>_XLL.VOSEOUTPUT(Model!B263,,"Bacteria in bottle",250)+IF(SUM($F$14:F262)&gt;=n,0,E263)</f>
        <v>0</v>
      </c>
    </row>
    <row r="264" spans="2:6" ht="12.75" hidden="1">
      <c r="B264" s="9">
        <v>251</v>
      </c>
      <c r="C264" s="21">
        <f>IF(n-SUM($F$14:F263)=0,999,n-SUM($F$14:F263))</f>
        <v>110</v>
      </c>
      <c r="D264" s="24">
        <f t="shared" si="3"/>
        <v>0.004</v>
      </c>
      <c r="E264" s="29">
        <f>_XLL.VOSEBINOMIAL(C264,D264)</f>
        <v>0</v>
      </c>
      <c r="F264" s="10">
        <f>_XLL.VOSEOUTPUT(Model!B264,,"Bacteria in bottle",251)+IF(SUM($F$14:F263)&gt;=n,0,E264)</f>
        <v>0</v>
      </c>
    </row>
    <row r="265" spans="2:6" ht="12.75" hidden="1">
      <c r="B265" s="9">
        <v>252</v>
      </c>
      <c r="C265" s="21">
        <f>IF(n-SUM($F$14:F264)=0,999,n-SUM($F$14:F264))</f>
        <v>110</v>
      </c>
      <c r="D265" s="24">
        <f t="shared" si="3"/>
        <v>0.004016064257028112</v>
      </c>
      <c r="E265" s="29">
        <f>_XLL.VOSEBINOMIAL(C265,D265)</f>
        <v>1</v>
      </c>
      <c r="F265" s="10">
        <f>_XLL.VOSEOUTPUT(Model!B265,,"Bacteria in bottle",252)+IF(SUM($F$14:F264)&gt;=n,0,E265)</f>
        <v>1</v>
      </c>
    </row>
    <row r="266" spans="2:6" ht="12.75" hidden="1">
      <c r="B266" s="9">
        <v>253</v>
      </c>
      <c r="C266" s="21">
        <f>IF(n-SUM($F$14:F265)=0,999,n-SUM($F$14:F265))</f>
        <v>109</v>
      </c>
      <c r="D266" s="24">
        <f t="shared" si="3"/>
        <v>0.004032258064516129</v>
      </c>
      <c r="E266" s="29">
        <f>_XLL.VOSEBINOMIAL(C266,D266)</f>
        <v>1</v>
      </c>
      <c r="F266" s="10">
        <f>_XLL.VOSEOUTPUT(Model!B266,,"Bacteria in bottle",253)+IF(SUM($F$14:F265)&gt;=n,0,E266)</f>
        <v>1</v>
      </c>
    </row>
    <row r="267" spans="2:6" ht="12.75" hidden="1">
      <c r="B267" s="9">
        <v>254</v>
      </c>
      <c r="C267" s="21">
        <f>IF(n-SUM($F$14:F266)=0,999,n-SUM($F$14:F266))</f>
        <v>108</v>
      </c>
      <c r="D267" s="24">
        <f t="shared" si="3"/>
        <v>0.004048582995951417</v>
      </c>
      <c r="E267" s="29">
        <f>_XLL.VOSEBINOMIAL(C267,D267)</f>
        <v>1</v>
      </c>
      <c r="F267" s="10">
        <f>_XLL.VOSEOUTPUT(Model!B267,,"Bacteria in bottle",254)+IF(SUM($F$14:F266)&gt;=n,0,E267)</f>
        <v>1</v>
      </c>
    </row>
    <row r="268" spans="2:6" ht="12.75" hidden="1">
      <c r="B268" s="9">
        <v>255</v>
      </c>
      <c r="C268" s="21">
        <f>IF(n-SUM($F$14:F267)=0,999,n-SUM($F$14:F267))</f>
        <v>107</v>
      </c>
      <c r="D268" s="24">
        <f t="shared" si="3"/>
        <v>0.0040650406504065045</v>
      </c>
      <c r="E268" s="29">
        <f>_XLL.VOSEBINOMIAL(C268,D268)</f>
        <v>1</v>
      </c>
      <c r="F268" s="10">
        <f>_XLL.VOSEOUTPUT(Model!B268,,"Bacteria in bottle",255)+IF(SUM($F$14:F267)&gt;=n,0,E268)</f>
        <v>1</v>
      </c>
    </row>
    <row r="269" spans="2:6" ht="12.75" hidden="1">
      <c r="B269" s="9">
        <v>256</v>
      </c>
      <c r="C269" s="21">
        <f>IF(n-SUM($F$14:F268)=0,999,n-SUM($F$14:F268))</f>
        <v>106</v>
      </c>
      <c r="D269" s="24">
        <f t="shared" si="3"/>
        <v>0.004081632653061225</v>
      </c>
      <c r="E269" s="29">
        <f>_XLL.VOSEBINOMIAL(C269,D269)</f>
        <v>0</v>
      </c>
      <c r="F269" s="10">
        <f>_XLL.VOSEOUTPUT(Model!B269,,"Bacteria in bottle",256)+IF(SUM($F$14:F268)&gt;=n,0,E269)</f>
        <v>0</v>
      </c>
    </row>
    <row r="270" spans="2:6" ht="12.75" hidden="1">
      <c r="B270" s="9">
        <v>257</v>
      </c>
      <c r="C270" s="21">
        <f>IF(n-SUM($F$14:F269)=0,999,n-SUM($F$14:F269))</f>
        <v>106</v>
      </c>
      <c r="D270" s="24">
        <f t="shared" si="3"/>
        <v>0.004098360655737705</v>
      </c>
      <c r="E270" s="29">
        <f>_XLL.VOSEBINOMIAL(C270,D270)</f>
        <v>3</v>
      </c>
      <c r="F270" s="10">
        <f>_XLL.VOSEOUTPUT(Model!B270,,"Bacteria in bottle",257)+IF(SUM($F$14:F269)&gt;=n,0,E270)</f>
        <v>3</v>
      </c>
    </row>
    <row r="271" spans="2:6" ht="12.75" hidden="1">
      <c r="B271" s="9">
        <v>258</v>
      </c>
      <c r="C271" s="21">
        <f>IF(n-SUM($F$14:F270)=0,999,n-SUM($F$14:F270))</f>
        <v>103</v>
      </c>
      <c r="D271" s="24">
        <f aca="true" t="shared" si="4" ref="D271:D334">B/(V-B270*B)</f>
        <v>0.00411522633744856</v>
      </c>
      <c r="E271" s="29">
        <f>_XLL.VOSEBINOMIAL(C271,D271)</f>
        <v>0</v>
      </c>
      <c r="F271" s="10">
        <f>_XLL.VOSEOUTPUT(Model!B271,,"Bacteria in bottle",258)+IF(SUM($F$14:F270)&gt;=n,0,E271)</f>
        <v>0</v>
      </c>
    </row>
    <row r="272" spans="2:6" ht="12.75" hidden="1">
      <c r="B272" s="9">
        <v>259</v>
      </c>
      <c r="C272" s="21">
        <f>IF(n-SUM($F$14:F271)=0,999,n-SUM($F$14:F271))</f>
        <v>103</v>
      </c>
      <c r="D272" s="24">
        <f t="shared" si="4"/>
        <v>0.004132231404958678</v>
      </c>
      <c r="E272" s="29">
        <f>_XLL.VOSEBINOMIAL(C272,D272)</f>
        <v>0</v>
      </c>
      <c r="F272" s="10">
        <f>_XLL.VOSEOUTPUT(Model!B272,,"Bacteria in bottle",259)+IF(SUM($F$14:F271)&gt;=n,0,E272)</f>
        <v>0</v>
      </c>
    </row>
    <row r="273" spans="2:6" ht="12.75" hidden="1">
      <c r="B273" s="9">
        <v>260</v>
      </c>
      <c r="C273" s="21">
        <f>IF(n-SUM($F$14:F272)=0,999,n-SUM($F$14:F272))</f>
        <v>103</v>
      </c>
      <c r="D273" s="24">
        <f t="shared" si="4"/>
        <v>0.004149377593360996</v>
      </c>
      <c r="E273" s="29">
        <f>_XLL.VOSEBINOMIAL(C273,D273)</f>
        <v>1</v>
      </c>
      <c r="F273" s="10">
        <f>_XLL.VOSEOUTPUT(Model!B273,,"Bacteria in bottle",260)+IF(SUM($F$14:F272)&gt;=n,0,E273)</f>
        <v>1</v>
      </c>
    </row>
    <row r="274" spans="2:6" ht="12.75" hidden="1">
      <c r="B274" s="9">
        <v>261</v>
      </c>
      <c r="C274" s="21">
        <f>IF(n-SUM($F$14:F273)=0,999,n-SUM($F$14:F273))</f>
        <v>102</v>
      </c>
      <c r="D274" s="24">
        <f t="shared" si="4"/>
        <v>0.004166666666666667</v>
      </c>
      <c r="E274" s="29">
        <f>_XLL.VOSEBINOMIAL(C274,D274)</f>
        <v>1</v>
      </c>
      <c r="F274" s="10">
        <f>_XLL.VOSEOUTPUT(Model!B274,,"Bacteria in bottle",261)+IF(SUM($F$14:F273)&gt;=n,0,E274)</f>
        <v>1</v>
      </c>
    </row>
    <row r="275" spans="2:6" ht="12.75" hidden="1">
      <c r="B275" s="9">
        <v>262</v>
      </c>
      <c r="C275" s="21">
        <f>IF(n-SUM($F$14:F274)=0,999,n-SUM($F$14:F274))</f>
        <v>101</v>
      </c>
      <c r="D275" s="24">
        <f t="shared" si="4"/>
        <v>0.0041841004184100415</v>
      </c>
      <c r="E275" s="29">
        <f>_XLL.VOSEBINOMIAL(C275,D275)</f>
        <v>1</v>
      </c>
      <c r="F275" s="10">
        <f>_XLL.VOSEOUTPUT(Model!B275,,"Bacteria in bottle",262)+IF(SUM($F$14:F274)&gt;=n,0,E275)</f>
        <v>1</v>
      </c>
    </row>
    <row r="276" spans="2:6" ht="12.75" hidden="1">
      <c r="B276" s="9">
        <v>263</v>
      </c>
      <c r="C276" s="21">
        <f>IF(n-SUM($F$14:F275)=0,999,n-SUM($F$14:F275))</f>
        <v>100</v>
      </c>
      <c r="D276" s="24">
        <f t="shared" si="4"/>
        <v>0.004201680672268907</v>
      </c>
      <c r="E276" s="29">
        <f>_XLL.VOSEBINOMIAL(C276,D276)</f>
        <v>0</v>
      </c>
      <c r="F276" s="10">
        <f>_XLL.VOSEOUTPUT(Model!B276,,"Bacteria in bottle",263)+IF(SUM($F$14:F275)&gt;=n,0,E276)</f>
        <v>0</v>
      </c>
    </row>
    <row r="277" spans="2:6" ht="12.75" hidden="1">
      <c r="B277" s="9">
        <v>264</v>
      </c>
      <c r="C277" s="21">
        <f>IF(n-SUM($F$14:F276)=0,999,n-SUM($F$14:F276))</f>
        <v>100</v>
      </c>
      <c r="D277" s="24">
        <f t="shared" si="4"/>
        <v>0.004219409282700422</v>
      </c>
      <c r="E277" s="29">
        <f>_XLL.VOSEBINOMIAL(C277,D277)</f>
        <v>0</v>
      </c>
      <c r="F277" s="10">
        <f>_XLL.VOSEOUTPUT(Model!B277,,"Bacteria in bottle",264)+IF(SUM($F$14:F276)&gt;=n,0,E277)</f>
        <v>0</v>
      </c>
    </row>
    <row r="278" spans="2:6" ht="12.75" hidden="1">
      <c r="B278" s="9">
        <v>265</v>
      </c>
      <c r="C278" s="21">
        <f>IF(n-SUM($F$14:F277)=0,999,n-SUM($F$14:F277))</f>
        <v>100</v>
      </c>
      <c r="D278" s="24">
        <f t="shared" si="4"/>
        <v>0.00423728813559322</v>
      </c>
      <c r="E278" s="29">
        <f>_XLL.VOSEBINOMIAL(C278,D278)</f>
        <v>1</v>
      </c>
      <c r="F278" s="10">
        <f>_XLL.VOSEOUTPUT(Model!B278,,"Bacteria in bottle",265)+IF(SUM($F$14:F277)&gt;=n,0,E278)</f>
        <v>1</v>
      </c>
    </row>
    <row r="279" spans="2:6" ht="12.75" hidden="1">
      <c r="B279" s="9">
        <v>266</v>
      </c>
      <c r="C279" s="21">
        <f>IF(n-SUM($F$14:F278)=0,999,n-SUM($F$14:F278))</f>
        <v>99</v>
      </c>
      <c r="D279" s="24">
        <f t="shared" si="4"/>
        <v>0.00425531914893617</v>
      </c>
      <c r="E279" s="29">
        <f>_XLL.VOSEBINOMIAL(C279,D279)</f>
        <v>0</v>
      </c>
      <c r="F279" s="10">
        <f>_XLL.VOSEOUTPUT(Model!B279,,"Bacteria in bottle",266)+IF(SUM($F$14:F278)&gt;=n,0,E279)</f>
        <v>0</v>
      </c>
    </row>
    <row r="280" spans="2:6" ht="12.75" hidden="1">
      <c r="B280" s="9">
        <v>267</v>
      </c>
      <c r="C280" s="21">
        <f>IF(n-SUM($F$14:F279)=0,999,n-SUM($F$14:F279))</f>
        <v>99</v>
      </c>
      <c r="D280" s="24">
        <f t="shared" si="4"/>
        <v>0.004273504273504274</v>
      </c>
      <c r="E280" s="29">
        <f>_XLL.VOSEBINOMIAL(C280,D280)</f>
        <v>0</v>
      </c>
      <c r="F280" s="10">
        <f>_XLL.VOSEOUTPUT(Model!B280,,"Bacteria in bottle",267)+IF(SUM($F$14:F279)&gt;=n,0,E280)</f>
        <v>0</v>
      </c>
    </row>
    <row r="281" spans="2:6" ht="12.75" hidden="1">
      <c r="B281" s="9">
        <v>268</v>
      </c>
      <c r="C281" s="21">
        <f>IF(n-SUM($F$14:F280)=0,999,n-SUM($F$14:F280))</f>
        <v>99</v>
      </c>
      <c r="D281" s="24">
        <f t="shared" si="4"/>
        <v>0.004291845493562232</v>
      </c>
      <c r="E281" s="29">
        <f>_XLL.VOSEBINOMIAL(C281,D281)</f>
        <v>0</v>
      </c>
      <c r="F281" s="10">
        <f>_XLL.VOSEOUTPUT(Model!B281,,"Bacteria in bottle",268)+IF(SUM($F$14:F280)&gt;=n,0,E281)</f>
        <v>0</v>
      </c>
    </row>
    <row r="282" spans="2:6" ht="12.75" hidden="1">
      <c r="B282" s="9">
        <v>269</v>
      </c>
      <c r="C282" s="21">
        <f>IF(n-SUM($F$14:F281)=0,999,n-SUM($F$14:F281))</f>
        <v>99</v>
      </c>
      <c r="D282" s="24">
        <f t="shared" si="4"/>
        <v>0.004310344827586207</v>
      </c>
      <c r="E282" s="29">
        <f>_XLL.VOSEBINOMIAL(C282,D282)</f>
        <v>0</v>
      </c>
      <c r="F282" s="10">
        <f>_XLL.VOSEOUTPUT(Model!B282,,"Bacteria in bottle",269)+IF(SUM($F$14:F281)&gt;=n,0,E282)</f>
        <v>0</v>
      </c>
    </row>
    <row r="283" spans="2:6" ht="12.75" hidden="1">
      <c r="B283" s="9">
        <v>270</v>
      </c>
      <c r="C283" s="21">
        <f>IF(n-SUM($F$14:F282)=0,999,n-SUM($F$14:F282))</f>
        <v>99</v>
      </c>
      <c r="D283" s="24">
        <f t="shared" si="4"/>
        <v>0.004329004329004329</v>
      </c>
      <c r="E283" s="29">
        <f>_XLL.VOSEBINOMIAL(C283,D283)</f>
        <v>0</v>
      </c>
      <c r="F283" s="10">
        <f>_XLL.VOSEOUTPUT(Model!B283,,"Bacteria in bottle",270)+IF(SUM($F$14:F282)&gt;=n,0,E283)</f>
        <v>0</v>
      </c>
    </row>
    <row r="284" spans="2:6" ht="12.75" hidden="1">
      <c r="B284" s="9">
        <v>271</v>
      </c>
      <c r="C284" s="21">
        <f>IF(n-SUM($F$14:F283)=0,999,n-SUM($F$14:F283))</f>
        <v>99</v>
      </c>
      <c r="D284" s="24">
        <f t="shared" si="4"/>
        <v>0.004347826086956522</v>
      </c>
      <c r="E284" s="29">
        <f>_XLL.VOSEBINOMIAL(C284,D284)</f>
        <v>1</v>
      </c>
      <c r="F284" s="10">
        <f>_XLL.VOSEOUTPUT(Model!B284,,"Bacteria in bottle",271)+IF(SUM($F$14:F283)&gt;=n,0,E284)</f>
        <v>1</v>
      </c>
    </row>
    <row r="285" spans="2:6" ht="12.75" hidden="1">
      <c r="B285" s="9">
        <v>272</v>
      </c>
      <c r="C285" s="21">
        <f>IF(n-SUM($F$14:F284)=0,999,n-SUM($F$14:F284))</f>
        <v>98</v>
      </c>
      <c r="D285" s="24">
        <f t="shared" si="4"/>
        <v>0.004366812227074236</v>
      </c>
      <c r="E285" s="29">
        <f>_XLL.VOSEBINOMIAL(C285,D285)</f>
        <v>0</v>
      </c>
      <c r="F285" s="10">
        <f>_XLL.VOSEOUTPUT(Model!B285,,"Bacteria in bottle",272)+IF(SUM($F$14:F284)&gt;=n,0,E285)</f>
        <v>0</v>
      </c>
    </row>
    <row r="286" spans="2:6" ht="12.75" hidden="1">
      <c r="B286" s="9">
        <v>273</v>
      </c>
      <c r="C286" s="21">
        <f>IF(n-SUM($F$14:F285)=0,999,n-SUM($F$14:F285))</f>
        <v>98</v>
      </c>
      <c r="D286" s="24">
        <f t="shared" si="4"/>
        <v>0.0043859649122807015</v>
      </c>
      <c r="E286" s="29">
        <f>_XLL.VOSEBINOMIAL(C286,D286)</f>
        <v>0</v>
      </c>
      <c r="F286" s="10">
        <f>_XLL.VOSEOUTPUT(Model!B286,,"Bacteria in bottle",273)+IF(SUM($F$14:F285)&gt;=n,0,E286)</f>
        <v>0</v>
      </c>
    </row>
    <row r="287" spans="2:6" ht="12.75" hidden="1">
      <c r="B287" s="9">
        <v>274</v>
      </c>
      <c r="C287" s="21">
        <f>IF(n-SUM($F$14:F286)=0,999,n-SUM($F$14:F286))</f>
        <v>98</v>
      </c>
      <c r="D287" s="24">
        <f t="shared" si="4"/>
        <v>0.004405286343612335</v>
      </c>
      <c r="E287" s="29">
        <f>_XLL.VOSEBINOMIAL(C287,D287)</f>
        <v>0</v>
      </c>
      <c r="F287" s="10">
        <f>_XLL.VOSEOUTPUT(Model!B287,,"Bacteria in bottle",274)+IF(SUM($F$14:F286)&gt;=n,0,E287)</f>
        <v>0</v>
      </c>
    </row>
    <row r="288" spans="2:6" ht="12.75" hidden="1">
      <c r="B288" s="9">
        <v>275</v>
      </c>
      <c r="C288" s="21">
        <f>IF(n-SUM($F$14:F287)=0,999,n-SUM($F$14:F287))</f>
        <v>98</v>
      </c>
      <c r="D288" s="24">
        <f t="shared" si="4"/>
        <v>0.004424778761061947</v>
      </c>
      <c r="E288" s="29">
        <f>_XLL.VOSEBINOMIAL(C288,D288)</f>
        <v>1</v>
      </c>
      <c r="F288" s="10">
        <f>_XLL.VOSEOUTPUT(Model!B288,,"Bacteria in bottle",275)+IF(SUM($F$14:F287)&gt;=n,0,E288)</f>
        <v>1</v>
      </c>
    </row>
    <row r="289" spans="2:6" ht="12.75" hidden="1">
      <c r="B289" s="9">
        <v>276</v>
      </c>
      <c r="C289" s="21">
        <f>IF(n-SUM($F$14:F288)=0,999,n-SUM($F$14:F288))</f>
        <v>97</v>
      </c>
      <c r="D289" s="24">
        <f t="shared" si="4"/>
        <v>0.0044444444444444444</v>
      </c>
      <c r="E289" s="29">
        <f>_XLL.VOSEBINOMIAL(C289,D289)</f>
        <v>2</v>
      </c>
      <c r="F289" s="10">
        <f>_XLL.VOSEOUTPUT(Model!B289,,"Bacteria in bottle",276)+IF(SUM($F$14:F288)&gt;=n,0,E289)</f>
        <v>2</v>
      </c>
    </row>
    <row r="290" spans="2:6" ht="12.75" hidden="1">
      <c r="B290" s="9">
        <v>277</v>
      </c>
      <c r="C290" s="21">
        <f>IF(n-SUM($F$14:F289)=0,999,n-SUM($F$14:F289))</f>
        <v>95</v>
      </c>
      <c r="D290" s="24">
        <f t="shared" si="4"/>
        <v>0.004464285714285714</v>
      </c>
      <c r="E290" s="29">
        <f>_XLL.VOSEBINOMIAL(C290,D290)</f>
        <v>0</v>
      </c>
      <c r="F290" s="10">
        <f>_XLL.VOSEOUTPUT(Model!B290,,"Bacteria in bottle",277)+IF(SUM($F$14:F289)&gt;=n,0,E290)</f>
        <v>0</v>
      </c>
    </row>
    <row r="291" spans="2:6" ht="12.75" hidden="1">
      <c r="B291" s="9">
        <v>278</v>
      </c>
      <c r="C291" s="21">
        <f>IF(n-SUM($F$14:F290)=0,999,n-SUM($F$14:F290))</f>
        <v>95</v>
      </c>
      <c r="D291" s="24">
        <f t="shared" si="4"/>
        <v>0.004484304932735426</v>
      </c>
      <c r="E291" s="29">
        <f>_XLL.VOSEBINOMIAL(C291,D291)</f>
        <v>0</v>
      </c>
      <c r="F291" s="10">
        <f>_XLL.VOSEOUTPUT(Model!B291,,"Bacteria in bottle",278)+IF(SUM($F$14:F290)&gt;=n,0,E291)</f>
        <v>0</v>
      </c>
    </row>
    <row r="292" spans="2:6" ht="12.75" hidden="1">
      <c r="B292" s="9">
        <v>279</v>
      </c>
      <c r="C292" s="21">
        <f>IF(n-SUM($F$14:F291)=0,999,n-SUM($F$14:F291))</f>
        <v>95</v>
      </c>
      <c r="D292" s="24">
        <f t="shared" si="4"/>
        <v>0.0045045045045045045</v>
      </c>
      <c r="E292" s="29">
        <f>_XLL.VOSEBINOMIAL(C292,D292)</f>
        <v>1</v>
      </c>
      <c r="F292" s="10">
        <f>_XLL.VOSEOUTPUT(Model!B292,,"Bacteria in bottle",279)+IF(SUM($F$14:F291)&gt;=n,0,E292)</f>
        <v>1</v>
      </c>
    </row>
    <row r="293" spans="2:6" ht="12.75" hidden="1">
      <c r="B293" s="9">
        <v>280</v>
      </c>
      <c r="C293" s="21">
        <f>IF(n-SUM($F$14:F292)=0,999,n-SUM($F$14:F292))</f>
        <v>94</v>
      </c>
      <c r="D293" s="24">
        <f t="shared" si="4"/>
        <v>0.004524886877828055</v>
      </c>
      <c r="E293" s="29">
        <f>_XLL.VOSEBINOMIAL(C293,D293)</f>
        <v>0</v>
      </c>
      <c r="F293" s="10">
        <f>_XLL.VOSEOUTPUT(Model!B293,,"Bacteria in bottle",280)+IF(SUM($F$14:F292)&gt;=n,0,E293)</f>
        <v>0</v>
      </c>
    </row>
    <row r="294" spans="2:6" ht="12.75" hidden="1">
      <c r="B294" s="9">
        <v>281</v>
      </c>
      <c r="C294" s="21">
        <f>IF(n-SUM($F$14:F293)=0,999,n-SUM($F$14:F293))</f>
        <v>94</v>
      </c>
      <c r="D294" s="24">
        <f t="shared" si="4"/>
        <v>0.004545454545454545</v>
      </c>
      <c r="E294" s="29">
        <f>_XLL.VOSEBINOMIAL(C294,D294)</f>
        <v>0</v>
      </c>
      <c r="F294" s="10">
        <f>_XLL.VOSEOUTPUT(Model!B294,,"Bacteria in bottle",281)+IF(SUM($F$14:F293)&gt;=n,0,E294)</f>
        <v>0</v>
      </c>
    </row>
    <row r="295" spans="2:6" ht="12.75" hidden="1">
      <c r="B295" s="9">
        <v>282</v>
      </c>
      <c r="C295" s="21">
        <f>IF(n-SUM($F$14:F294)=0,999,n-SUM($F$14:F294))</f>
        <v>94</v>
      </c>
      <c r="D295" s="24">
        <f t="shared" si="4"/>
        <v>0.0045662100456621</v>
      </c>
      <c r="E295" s="29">
        <f>_XLL.VOSEBINOMIAL(C295,D295)</f>
        <v>0</v>
      </c>
      <c r="F295" s="10">
        <f>_XLL.VOSEOUTPUT(Model!B295,,"Bacteria in bottle",282)+IF(SUM($F$14:F294)&gt;=n,0,E295)</f>
        <v>0</v>
      </c>
    </row>
    <row r="296" spans="2:6" ht="12.75" hidden="1">
      <c r="B296" s="9">
        <v>283</v>
      </c>
      <c r="C296" s="21">
        <f>IF(n-SUM($F$14:F295)=0,999,n-SUM($F$14:F295))</f>
        <v>94</v>
      </c>
      <c r="D296" s="24">
        <f t="shared" si="4"/>
        <v>0.0045871559633027525</v>
      </c>
      <c r="E296" s="29">
        <f>_XLL.VOSEBINOMIAL(C296,D296)</f>
        <v>0</v>
      </c>
      <c r="F296" s="10">
        <f>_XLL.VOSEOUTPUT(Model!B296,,"Bacteria in bottle",283)+IF(SUM($F$14:F295)&gt;=n,0,E296)</f>
        <v>0</v>
      </c>
    </row>
    <row r="297" spans="2:6" ht="12.75" hidden="1">
      <c r="B297" s="9">
        <v>284</v>
      </c>
      <c r="C297" s="21">
        <f>IF(n-SUM($F$14:F296)=0,999,n-SUM($F$14:F296))</f>
        <v>94</v>
      </c>
      <c r="D297" s="24">
        <f t="shared" si="4"/>
        <v>0.004608294930875576</v>
      </c>
      <c r="E297" s="29">
        <f>_XLL.VOSEBINOMIAL(C297,D297)</f>
        <v>0</v>
      </c>
      <c r="F297" s="10">
        <f>_XLL.VOSEOUTPUT(Model!B297,,"Bacteria in bottle",284)+IF(SUM($F$14:F296)&gt;=n,0,E297)</f>
        <v>0</v>
      </c>
    </row>
    <row r="298" spans="2:6" ht="12.75" hidden="1">
      <c r="B298" s="9">
        <v>285</v>
      </c>
      <c r="C298" s="21">
        <f>IF(n-SUM($F$14:F297)=0,999,n-SUM($F$14:F297))</f>
        <v>94</v>
      </c>
      <c r="D298" s="24">
        <f t="shared" si="4"/>
        <v>0.004629629629629629</v>
      </c>
      <c r="E298" s="29">
        <f>_XLL.VOSEBINOMIAL(C298,D298)</f>
        <v>1</v>
      </c>
      <c r="F298" s="10">
        <f>_XLL.VOSEOUTPUT(Model!B298,,"Bacteria in bottle",285)+IF(SUM($F$14:F297)&gt;=n,0,E298)</f>
        <v>1</v>
      </c>
    </row>
    <row r="299" spans="2:6" ht="12.75" hidden="1">
      <c r="B299" s="9">
        <v>286</v>
      </c>
      <c r="C299" s="21">
        <f>IF(n-SUM($F$14:F298)=0,999,n-SUM($F$14:F298))</f>
        <v>93</v>
      </c>
      <c r="D299" s="24">
        <f t="shared" si="4"/>
        <v>0.004651162790697674</v>
      </c>
      <c r="E299" s="29">
        <f>_XLL.VOSEBINOMIAL(C299,D299)</f>
        <v>0</v>
      </c>
      <c r="F299" s="10">
        <f>_XLL.VOSEOUTPUT(Model!B299,,"Bacteria in bottle",286)+IF(SUM($F$14:F298)&gt;=n,0,E299)</f>
        <v>0</v>
      </c>
    </row>
    <row r="300" spans="2:6" ht="12.75" hidden="1">
      <c r="B300" s="9">
        <v>287</v>
      </c>
      <c r="C300" s="21">
        <f>IF(n-SUM($F$14:F299)=0,999,n-SUM($F$14:F299))</f>
        <v>93</v>
      </c>
      <c r="D300" s="24">
        <f t="shared" si="4"/>
        <v>0.004672897196261682</v>
      </c>
      <c r="E300" s="29">
        <f>_XLL.VOSEBINOMIAL(C300,D300)</f>
        <v>1</v>
      </c>
      <c r="F300" s="10">
        <f>_XLL.VOSEOUTPUT(Model!B300,,"Bacteria in bottle",287)+IF(SUM($F$14:F299)&gt;=n,0,E300)</f>
        <v>1</v>
      </c>
    </row>
    <row r="301" spans="2:6" ht="12.75" hidden="1">
      <c r="B301" s="9">
        <v>288</v>
      </c>
      <c r="C301" s="21">
        <f>IF(n-SUM($F$14:F300)=0,999,n-SUM($F$14:F300))</f>
        <v>92</v>
      </c>
      <c r="D301" s="24">
        <f t="shared" si="4"/>
        <v>0.004694835680751174</v>
      </c>
      <c r="E301" s="29">
        <f>_XLL.VOSEBINOMIAL(C301,D301)</f>
        <v>0</v>
      </c>
      <c r="F301" s="10">
        <f>_XLL.VOSEOUTPUT(Model!B301,,"Bacteria in bottle",288)+IF(SUM($F$14:F300)&gt;=n,0,E301)</f>
        <v>0</v>
      </c>
    </row>
    <row r="302" spans="2:6" ht="12.75" hidden="1">
      <c r="B302" s="9">
        <v>289</v>
      </c>
      <c r="C302" s="21">
        <f>IF(n-SUM($F$14:F301)=0,999,n-SUM($F$14:F301))</f>
        <v>92</v>
      </c>
      <c r="D302" s="24">
        <f t="shared" si="4"/>
        <v>0.0047169811320754715</v>
      </c>
      <c r="E302" s="29">
        <f>_XLL.VOSEBINOMIAL(C302,D302)</f>
        <v>0</v>
      </c>
      <c r="F302" s="10">
        <f>_XLL.VOSEOUTPUT(Model!B302,,"Bacteria in bottle",289)+IF(SUM($F$14:F301)&gt;=n,0,E302)</f>
        <v>0</v>
      </c>
    </row>
    <row r="303" spans="2:6" ht="12.75" hidden="1">
      <c r="B303" s="9">
        <v>290</v>
      </c>
      <c r="C303" s="21">
        <f>IF(n-SUM($F$14:F302)=0,999,n-SUM($F$14:F302))</f>
        <v>92</v>
      </c>
      <c r="D303" s="24">
        <f t="shared" si="4"/>
        <v>0.004739336492890996</v>
      </c>
      <c r="E303" s="29">
        <f>_XLL.VOSEBINOMIAL(C303,D303)</f>
        <v>2</v>
      </c>
      <c r="F303" s="10">
        <f>_XLL.VOSEOUTPUT(Model!B303,,"Bacteria in bottle",290)+IF(SUM($F$14:F302)&gt;=n,0,E303)</f>
        <v>2</v>
      </c>
    </row>
    <row r="304" spans="2:6" ht="12.75" hidden="1">
      <c r="B304" s="9">
        <v>291</v>
      </c>
      <c r="C304" s="21">
        <f>IF(n-SUM($F$14:F303)=0,999,n-SUM($F$14:F303))</f>
        <v>90</v>
      </c>
      <c r="D304" s="24">
        <f t="shared" si="4"/>
        <v>0.004761904761904762</v>
      </c>
      <c r="E304" s="29">
        <f>_XLL.VOSEBINOMIAL(C304,D304)</f>
        <v>0</v>
      </c>
      <c r="F304" s="10">
        <f>_XLL.VOSEOUTPUT(Model!B304,,"Bacteria in bottle",291)+IF(SUM($F$14:F303)&gt;=n,0,E304)</f>
        <v>0</v>
      </c>
    </row>
    <row r="305" spans="2:6" ht="12.75" hidden="1">
      <c r="B305" s="9">
        <v>292</v>
      </c>
      <c r="C305" s="21">
        <f>IF(n-SUM($F$14:F304)=0,999,n-SUM($F$14:F304))</f>
        <v>90</v>
      </c>
      <c r="D305" s="24">
        <f t="shared" si="4"/>
        <v>0.004784688995215311</v>
      </c>
      <c r="E305" s="29">
        <f>_XLL.VOSEBINOMIAL(C305,D305)</f>
        <v>0</v>
      </c>
      <c r="F305" s="10">
        <f>_XLL.VOSEOUTPUT(Model!B305,,"Bacteria in bottle",292)+IF(SUM($F$14:F304)&gt;=n,0,E305)</f>
        <v>0</v>
      </c>
    </row>
    <row r="306" spans="2:6" ht="12.75" hidden="1">
      <c r="B306" s="9">
        <v>293</v>
      </c>
      <c r="C306" s="21">
        <f>IF(n-SUM($F$14:F305)=0,999,n-SUM($F$14:F305))</f>
        <v>90</v>
      </c>
      <c r="D306" s="24">
        <f t="shared" si="4"/>
        <v>0.004807692307692308</v>
      </c>
      <c r="E306" s="29">
        <f>_XLL.VOSEBINOMIAL(C306,D306)</f>
        <v>0</v>
      </c>
      <c r="F306" s="10">
        <f>_XLL.VOSEOUTPUT(Model!B306,,"Bacteria in bottle",293)+IF(SUM($F$14:F305)&gt;=n,0,E306)</f>
        <v>0</v>
      </c>
    </row>
    <row r="307" spans="2:6" ht="12.75" hidden="1">
      <c r="B307" s="9">
        <v>294</v>
      </c>
      <c r="C307" s="21">
        <f>IF(n-SUM($F$14:F306)=0,999,n-SUM($F$14:F306))</f>
        <v>90</v>
      </c>
      <c r="D307" s="24">
        <f t="shared" si="4"/>
        <v>0.004830917874396135</v>
      </c>
      <c r="E307" s="29">
        <f>_XLL.VOSEBINOMIAL(C307,D307)</f>
        <v>0</v>
      </c>
      <c r="F307" s="10">
        <f>_XLL.VOSEOUTPUT(Model!B307,,"Bacteria in bottle",294)+IF(SUM($F$14:F306)&gt;=n,0,E307)</f>
        <v>0</v>
      </c>
    </row>
    <row r="308" spans="2:6" ht="12.75" hidden="1">
      <c r="B308" s="9">
        <v>295</v>
      </c>
      <c r="C308" s="21">
        <f>IF(n-SUM($F$14:F307)=0,999,n-SUM($F$14:F307))</f>
        <v>90</v>
      </c>
      <c r="D308" s="24">
        <f t="shared" si="4"/>
        <v>0.0048543689320388345</v>
      </c>
      <c r="E308" s="29">
        <f>_XLL.VOSEBINOMIAL(C308,D308)</f>
        <v>1</v>
      </c>
      <c r="F308" s="10">
        <f>_XLL.VOSEOUTPUT(Model!B308,,"Bacteria in bottle",295)+IF(SUM($F$14:F307)&gt;=n,0,E308)</f>
        <v>1</v>
      </c>
    </row>
    <row r="309" spans="2:6" ht="12.75" hidden="1">
      <c r="B309" s="9">
        <v>296</v>
      </c>
      <c r="C309" s="21">
        <f>IF(n-SUM($F$14:F308)=0,999,n-SUM($F$14:F308))</f>
        <v>89</v>
      </c>
      <c r="D309" s="24">
        <f t="shared" si="4"/>
        <v>0.004878048780487805</v>
      </c>
      <c r="E309" s="29">
        <f>_XLL.VOSEBINOMIAL(C309,D309)</f>
        <v>1</v>
      </c>
      <c r="F309" s="10">
        <f>_XLL.VOSEOUTPUT(Model!B309,,"Bacteria in bottle",296)+IF(SUM($F$14:F308)&gt;=n,0,E309)</f>
        <v>1</v>
      </c>
    </row>
    <row r="310" spans="2:6" ht="12.75" hidden="1">
      <c r="B310" s="9">
        <v>297</v>
      </c>
      <c r="C310" s="21">
        <f>IF(n-SUM($F$14:F309)=0,999,n-SUM($F$14:F309))</f>
        <v>88</v>
      </c>
      <c r="D310" s="24">
        <f t="shared" si="4"/>
        <v>0.004901960784313725</v>
      </c>
      <c r="E310" s="29">
        <f>_XLL.VOSEBINOMIAL(C310,D310)</f>
        <v>3</v>
      </c>
      <c r="F310" s="10">
        <f>_XLL.VOSEOUTPUT(Model!B310,,"Bacteria in bottle",297)+IF(SUM($F$14:F309)&gt;=n,0,E310)</f>
        <v>3</v>
      </c>
    </row>
    <row r="311" spans="2:6" ht="12.75" hidden="1">
      <c r="B311" s="9">
        <v>298</v>
      </c>
      <c r="C311" s="21">
        <f>IF(n-SUM($F$14:F310)=0,999,n-SUM($F$14:F310))</f>
        <v>85</v>
      </c>
      <c r="D311" s="24">
        <f t="shared" si="4"/>
        <v>0.0049261083743842365</v>
      </c>
      <c r="E311" s="29">
        <f>_XLL.VOSEBINOMIAL(C311,D311)</f>
        <v>1</v>
      </c>
      <c r="F311" s="10">
        <f>_XLL.VOSEOUTPUT(Model!B311,,"Bacteria in bottle",298)+IF(SUM($F$14:F310)&gt;=n,0,E311)</f>
        <v>1</v>
      </c>
    </row>
    <row r="312" spans="2:6" ht="12.75" hidden="1">
      <c r="B312" s="9">
        <v>299</v>
      </c>
      <c r="C312" s="21">
        <f>IF(n-SUM($F$14:F311)=0,999,n-SUM($F$14:F311))</f>
        <v>84</v>
      </c>
      <c r="D312" s="24">
        <f t="shared" si="4"/>
        <v>0.0049504950495049506</v>
      </c>
      <c r="E312" s="29">
        <f>_XLL.VOSEBINOMIAL(C312,D312)</f>
        <v>0</v>
      </c>
      <c r="F312" s="10">
        <f>_XLL.VOSEOUTPUT(Model!B312,,"Bacteria in bottle",299)+IF(SUM($F$14:F311)&gt;=n,0,E312)</f>
        <v>0</v>
      </c>
    </row>
    <row r="313" spans="2:6" ht="12.75" hidden="1">
      <c r="B313" s="9">
        <v>300</v>
      </c>
      <c r="C313" s="21">
        <f>IF(n-SUM($F$14:F312)=0,999,n-SUM($F$14:F312))</f>
        <v>84</v>
      </c>
      <c r="D313" s="24">
        <f t="shared" si="4"/>
        <v>0.004975124378109453</v>
      </c>
      <c r="E313" s="29">
        <f>_XLL.VOSEBINOMIAL(C313,D313)</f>
        <v>1</v>
      </c>
      <c r="F313" s="10">
        <f>_XLL.VOSEOUTPUT(Model!B313,,"Bacteria in bottle",300)+IF(SUM($F$14:F312)&gt;=n,0,E313)</f>
        <v>1</v>
      </c>
    </row>
    <row r="314" spans="2:6" ht="12.75" hidden="1">
      <c r="B314" s="9">
        <v>301</v>
      </c>
      <c r="C314" s="21">
        <f>IF(n-SUM($F$14:F313)=0,999,n-SUM($F$14:F313))</f>
        <v>83</v>
      </c>
      <c r="D314" s="24">
        <f t="shared" si="4"/>
        <v>0.005</v>
      </c>
      <c r="E314" s="29">
        <f>_XLL.VOSEBINOMIAL(C314,D314)</f>
        <v>0</v>
      </c>
      <c r="F314" s="10">
        <f>_XLL.VOSEOUTPUT(Model!B314,,"Bacteria in bottle",301)+IF(SUM($F$14:F313)&gt;=n,0,E314)</f>
        <v>0</v>
      </c>
    </row>
    <row r="315" spans="2:6" ht="12.75" hidden="1">
      <c r="B315" s="9">
        <v>302</v>
      </c>
      <c r="C315" s="21">
        <f>IF(n-SUM($F$14:F314)=0,999,n-SUM($F$14:F314))</f>
        <v>83</v>
      </c>
      <c r="D315" s="24">
        <f t="shared" si="4"/>
        <v>0.005025125628140704</v>
      </c>
      <c r="E315" s="29">
        <f>_XLL.VOSEBINOMIAL(C315,D315)</f>
        <v>1</v>
      </c>
      <c r="F315" s="10">
        <f>_XLL.VOSEOUTPUT(Model!B315,,"Bacteria in bottle",302)+IF(SUM($F$14:F314)&gt;=n,0,E315)</f>
        <v>1</v>
      </c>
    </row>
    <row r="316" spans="2:6" ht="12.75" hidden="1">
      <c r="B316" s="9">
        <v>303</v>
      </c>
      <c r="C316" s="21">
        <f>IF(n-SUM($F$14:F315)=0,999,n-SUM($F$14:F315))</f>
        <v>82</v>
      </c>
      <c r="D316" s="24">
        <f t="shared" si="4"/>
        <v>0.005050505050505051</v>
      </c>
      <c r="E316" s="29">
        <f>_XLL.VOSEBINOMIAL(C316,D316)</f>
        <v>1</v>
      </c>
      <c r="F316" s="10">
        <f>_XLL.VOSEOUTPUT(Model!B316,,"Bacteria in bottle",303)+IF(SUM($F$14:F315)&gt;=n,0,E316)</f>
        <v>1</v>
      </c>
    </row>
    <row r="317" spans="2:6" ht="12.75" hidden="1">
      <c r="B317" s="9">
        <v>304</v>
      </c>
      <c r="C317" s="21">
        <f>IF(n-SUM($F$14:F316)=0,999,n-SUM($F$14:F316))</f>
        <v>81</v>
      </c>
      <c r="D317" s="24">
        <f t="shared" si="4"/>
        <v>0.005076142131979695</v>
      </c>
      <c r="E317" s="29">
        <f>_XLL.VOSEBINOMIAL(C317,D317)</f>
        <v>0</v>
      </c>
      <c r="F317" s="10">
        <f>_XLL.VOSEOUTPUT(Model!B317,,"Bacteria in bottle",304)+IF(SUM($F$14:F316)&gt;=n,0,E317)</f>
        <v>0</v>
      </c>
    </row>
    <row r="318" spans="2:6" ht="12.75" hidden="1">
      <c r="B318" s="9">
        <v>305</v>
      </c>
      <c r="C318" s="21">
        <f>IF(n-SUM($F$14:F317)=0,999,n-SUM($F$14:F317))</f>
        <v>81</v>
      </c>
      <c r="D318" s="24">
        <f t="shared" si="4"/>
        <v>0.00510204081632653</v>
      </c>
      <c r="E318" s="29">
        <f>_XLL.VOSEBINOMIAL(C318,D318)</f>
        <v>0</v>
      </c>
      <c r="F318" s="10">
        <f>_XLL.VOSEOUTPUT(Model!B318,,"Bacteria in bottle",305)+IF(SUM($F$14:F317)&gt;=n,0,E318)</f>
        <v>0</v>
      </c>
    </row>
    <row r="319" spans="2:6" ht="12.75" hidden="1">
      <c r="B319" s="9">
        <v>306</v>
      </c>
      <c r="C319" s="21">
        <f>IF(n-SUM($F$14:F318)=0,999,n-SUM($F$14:F318))</f>
        <v>81</v>
      </c>
      <c r="D319" s="24">
        <f t="shared" si="4"/>
        <v>0.005128205128205128</v>
      </c>
      <c r="E319" s="29">
        <f>_XLL.VOSEBINOMIAL(C319,D319)</f>
        <v>0</v>
      </c>
      <c r="F319" s="10">
        <f>_XLL.VOSEOUTPUT(Model!B319,,"Bacteria in bottle",306)+IF(SUM($F$14:F318)&gt;=n,0,E319)</f>
        <v>0</v>
      </c>
    </row>
    <row r="320" spans="2:6" ht="12.75" hidden="1">
      <c r="B320" s="9">
        <v>307</v>
      </c>
      <c r="C320" s="21">
        <f>IF(n-SUM($F$14:F319)=0,999,n-SUM($F$14:F319))</f>
        <v>81</v>
      </c>
      <c r="D320" s="24">
        <f t="shared" si="4"/>
        <v>0.005154639175257732</v>
      </c>
      <c r="E320" s="29">
        <f>_XLL.VOSEBINOMIAL(C320,D320)</f>
        <v>0</v>
      </c>
      <c r="F320" s="10">
        <f>_XLL.VOSEOUTPUT(Model!B320,,"Bacteria in bottle",307)+IF(SUM($F$14:F319)&gt;=n,0,E320)</f>
        <v>0</v>
      </c>
    </row>
    <row r="321" spans="2:6" ht="12.75" hidden="1">
      <c r="B321" s="9">
        <v>308</v>
      </c>
      <c r="C321" s="21">
        <f>IF(n-SUM($F$14:F320)=0,999,n-SUM($F$14:F320))</f>
        <v>81</v>
      </c>
      <c r="D321" s="24">
        <f t="shared" si="4"/>
        <v>0.0051813471502590676</v>
      </c>
      <c r="E321" s="29">
        <f>_XLL.VOSEBINOMIAL(C321,D321)</f>
        <v>0</v>
      </c>
      <c r="F321" s="10">
        <f>_XLL.VOSEOUTPUT(Model!B321,,"Bacteria in bottle",308)+IF(SUM($F$14:F320)&gt;=n,0,E321)</f>
        <v>0</v>
      </c>
    </row>
    <row r="322" spans="2:6" ht="12.75" hidden="1">
      <c r="B322" s="9">
        <v>309</v>
      </c>
      <c r="C322" s="21">
        <f>IF(n-SUM($F$14:F321)=0,999,n-SUM($F$14:F321))</f>
        <v>81</v>
      </c>
      <c r="D322" s="24">
        <f t="shared" si="4"/>
        <v>0.005208333333333333</v>
      </c>
      <c r="E322" s="29">
        <f>_XLL.VOSEBINOMIAL(C322,D322)</f>
        <v>1</v>
      </c>
      <c r="F322" s="10">
        <f>_XLL.VOSEOUTPUT(Model!B322,,"Bacteria in bottle",309)+IF(SUM($F$14:F321)&gt;=n,0,E322)</f>
        <v>1</v>
      </c>
    </row>
    <row r="323" spans="2:6" ht="12.75" hidden="1">
      <c r="B323" s="9">
        <v>310</v>
      </c>
      <c r="C323" s="21">
        <f>IF(n-SUM($F$14:F322)=0,999,n-SUM($F$14:F322))</f>
        <v>80</v>
      </c>
      <c r="D323" s="24">
        <f t="shared" si="4"/>
        <v>0.005235602094240838</v>
      </c>
      <c r="E323" s="29">
        <f>_XLL.VOSEBINOMIAL(C323,D323)</f>
        <v>0</v>
      </c>
      <c r="F323" s="10">
        <f>_XLL.VOSEOUTPUT(Model!B323,,"Bacteria in bottle",310)+IF(SUM($F$14:F322)&gt;=n,0,E323)</f>
        <v>0</v>
      </c>
    </row>
    <row r="324" spans="2:6" ht="12.75" hidden="1">
      <c r="B324" s="9">
        <v>311</v>
      </c>
      <c r="C324" s="21">
        <f>IF(n-SUM($F$14:F323)=0,999,n-SUM($F$14:F323))</f>
        <v>80</v>
      </c>
      <c r="D324" s="24">
        <f t="shared" si="4"/>
        <v>0.005263157894736842</v>
      </c>
      <c r="E324" s="29">
        <f>_XLL.VOSEBINOMIAL(C324,D324)</f>
        <v>0</v>
      </c>
      <c r="F324" s="10">
        <f>_XLL.VOSEOUTPUT(Model!B324,,"Bacteria in bottle",311)+IF(SUM($F$14:F323)&gt;=n,0,E324)</f>
        <v>0</v>
      </c>
    </row>
    <row r="325" spans="2:6" ht="12.75" hidden="1">
      <c r="B325" s="9">
        <v>312</v>
      </c>
      <c r="C325" s="21">
        <f>IF(n-SUM($F$14:F324)=0,999,n-SUM($F$14:F324))</f>
        <v>80</v>
      </c>
      <c r="D325" s="24">
        <f t="shared" si="4"/>
        <v>0.005291005291005291</v>
      </c>
      <c r="E325" s="29">
        <f>_XLL.VOSEBINOMIAL(C325,D325)</f>
        <v>2</v>
      </c>
      <c r="F325" s="10">
        <f>_XLL.VOSEOUTPUT(Model!B325,,"Bacteria in bottle",312)+IF(SUM($F$14:F324)&gt;=n,0,E325)</f>
        <v>2</v>
      </c>
    </row>
    <row r="326" spans="2:6" ht="12.75" hidden="1">
      <c r="B326" s="9">
        <v>313</v>
      </c>
      <c r="C326" s="21">
        <f>IF(n-SUM($F$14:F325)=0,999,n-SUM($F$14:F325))</f>
        <v>78</v>
      </c>
      <c r="D326" s="24">
        <f t="shared" si="4"/>
        <v>0.005319148936170213</v>
      </c>
      <c r="E326" s="29">
        <f>_XLL.VOSEBINOMIAL(C326,D326)</f>
        <v>0</v>
      </c>
      <c r="F326" s="10">
        <f>_XLL.VOSEOUTPUT(Model!B326,,"Bacteria in bottle",313)+IF(SUM($F$14:F325)&gt;=n,0,E326)</f>
        <v>0</v>
      </c>
    </row>
    <row r="327" spans="2:6" ht="12.75" hidden="1">
      <c r="B327" s="9">
        <v>314</v>
      </c>
      <c r="C327" s="21">
        <f>IF(n-SUM($F$14:F326)=0,999,n-SUM($F$14:F326))</f>
        <v>78</v>
      </c>
      <c r="D327" s="24">
        <f t="shared" si="4"/>
        <v>0.0053475935828877</v>
      </c>
      <c r="E327" s="29">
        <f>_XLL.VOSEBINOMIAL(C327,D327)</f>
        <v>0</v>
      </c>
      <c r="F327" s="10">
        <f>_XLL.VOSEOUTPUT(Model!B327,,"Bacteria in bottle",314)+IF(SUM($F$14:F326)&gt;=n,0,E327)</f>
        <v>0</v>
      </c>
    </row>
    <row r="328" spans="2:6" ht="12.75" hidden="1">
      <c r="B328" s="9">
        <v>315</v>
      </c>
      <c r="C328" s="21">
        <f>IF(n-SUM($F$14:F327)=0,999,n-SUM($F$14:F327))</f>
        <v>78</v>
      </c>
      <c r="D328" s="24">
        <f t="shared" si="4"/>
        <v>0.005376344086021506</v>
      </c>
      <c r="E328" s="29">
        <f>_XLL.VOSEBINOMIAL(C328,D328)</f>
        <v>0</v>
      </c>
      <c r="F328" s="10">
        <f>_XLL.VOSEOUTPUT(Model!B328,,"Bacteria in bottle",315)+IF(SUM($F$14:F327)&gt;=n,0,E328)</f>
        <v>0</v>
      </c>
    </row>
    <row r="329" spans="2:6" ht="12.75" hidden="1">
      <c r="B329" s="9">
        <v>316</v>
      </c>
      <c r="C329" s="21">
        <f>IF(n-SUM($F$14:F328)=0,999,n-SUM($F$14:F328))</f>
        <v>78</v>
      </c>
      <c r="D329" s="24">
        <f t="shared" si="4"/>
        <v>0.005405405405405406</v>
      </c>
      <c r="E329" s="29">
        <f>_XLL.VOSEBINOMIAL(C329,D329)</f>
        <v>1</v>
      </c>
      <c r="F329" s="10">
        <f>_XLL.VOSEOUTPUT(Model!B329,,"Bacteria in bottle",316)+IF(SUM($F$14:F328)&gt;=n,0,E329)</f>
        <v>1</v>
      </c>
    </row>
    <row r="330" spans="2:6" ht="12.75" hidden="1">
      <c r="B330" s="9">
        <v>317</v>
      </c>
      <c r="C330" s="21">
        <f>IF(n-SUM($F$14:F329)=0,999,n-SUM($F$14:F329))</f>
        <v>77</v>
      </c>
      <c r="D330" s="24">
        <f t="shared" si="4"/>
        <v>0.005434782608695652</v>
      </c>
      <c r="E330" s="29">
        <f>_XLL.VOSEBINOMIAL(C330,D330)</f>
        <v>0</v>
      </c>
      <c r="F330" s="10">
        <f>_XLL.VOSEOUTPUT(Model!B330,,"Bacteria in bottle",317)+IF(SUM($F$14:F329)&gt;=n,0,E330)</f>
        <v>0</v>
      </c>
    </row>
    <row r="331" spans="2:6" ht="12.75" hidden="1">
      <c r="B331" s="9">
        <v>318</v>
      </c>
      <c r="C331" s="21">
        <f>IF(n-SUM($F$14:F330)=0,999,n-SUM($F$14:F330))</f>
        <v>77</v>
      </c>
      <c r="D331" s="24">
        <f t="shared" si="4"/>
        <v>0.00546448087431694</v>
      </c>
      <c r="E331" s="29">
        <f>_XLL.VOSEBINOMIAL(C331,D331)</f>
        <v>1</v>
      </c>
      <c r="F331" s="10">
        <f>_XLL.VOSEOUTPUT(Model!B331,,"Bacteria in bottle",318)+IF(SUM($F$14:F330)&gt;=n,0,E331)</f>
        <v>1</v>
      </c>
    </row>
    <row r="332" spans="2:6" ht="12.75" hidden="1">
      <c r="B332" s="9">
        <v>319</v>
      </c>
      <c r="C332" s="21">
        <f>IF(n-SUM($F$14:F331)=0,999,n-SUM($F$14:F331))</f>
        <v>76</v>
      </c>
      <c r="D332" s="24">
        <f t="shared" si="4"/>
        <v>0.005494505494505495</v>
      </c>
      <c r="E332" s="29">
        <f>_XLL.VOSEBINOMIAL(C332,D332)</f>
        <v>0</v>
      </c>
      <c r="F332" s="10">
        <f>_XLL.VOSEOUTPUT(Model!B332,,"Bacteria in bottle",319)+IF(SUM($F$14:F331)&gt;=n,0,E332)</f>
        <v>0</v>
      </c>
    </row>
    <row r="333" spans="2:6" ht="12.75" hidden="1">
      <c r="B333" s="9">
        <v>320</v>
      </c>
      <c r="C333" s="21">
        <f>IF(n-SUM($F$14:F332)=0,999,n-SUM($F$14:F332))</f>
        <v>76</v>
      </c>
      <c r="D333" s="24">
        <f t="shared" si="4"/>
        <v>0.0055248618784530384</v>
      </c>
      <c r="E333" s="29">
        <f>_XLL.VOSEBINOMIAL(C333,D333)</f>
        <v>1</v>
      </c>
      <c r="F333" s="10">
        <f>_XLL.VOSEOUTPUT(Model!B333,,"Bacteria in bottle",320)+IF(SUM($F$14:F332)&gt;=n,0,E333)</f>
        <v>1</v>
      </c>
    </row>
    <row r="334" spans="2:6" ht="12.75" hidden="1">
      <c r="B334" s="9">
        <v>321</v>
      </c>
      <c r="C334" s="21">
        <f>IF(n-SUM($F$14:F333)=0,999,n-SUM($F$14:F333))</f>
        <v>75</v>
      </c>
      <c r="D334" s="24">
        <f t="shared" si="4"/>
        <v>0.005555555555555556</v>
      </c>
      <c r="E334" s="29">
        <f>_XLL.VOSEBINOMIAL(C334,D334)</f>
        <v>0</v>
      </c>
      <c r="F334" s="10">
        <f>_XLL.VOSEOUTPUT(Model!B334,,"Bacteria in bottle",321)+IF(SUM($F$14:F333)&gt;=n,0,E334)</f>
        <v>0</v>
      </c>
    </row>
    <row r="335" spans="2:6" ht="12.75" hidden="1">
      <c r="B335" s="9">
        <v>322</v>
      </c>
      <c r="C335" s="21">
        <f>IF(n-SUM($F$14:F334)=0,999,n-SUM($F$14:F334))</f>
        <v>75</v>
      </c>
      <c r="D335" s="24">
        <f aca="true" t="shared" si="5" ref="D335:D398">B/(V-B334*B)</f>
        <v>0.00558659217877095</v>
      </c>
      <c r="E335" s="29">
        <f>_XLL.VOSEBINOMIAL(C335,D335)</f>
        <v>1</v>
      </c>
      <c r="F335" s="10">
        <f>_XLL.VOSEOUTPUT(Model!B335,,"Bacteria in bottle",322)+IF(SUM($F$14:F334)&gt;=n,0,E335)</f>
        <v>1</v>
      </c>
    </row>
    <row r="336" spans="2:6" ht="12.75" hidden="1">
      <c r="B336" s="9">
        <v>323</v>
      </c>
      <c r="C336" s="21">
        <f>IF(n-SUM($F$14:F335)=0,999,n-SUM($F$14:F335))</f>
        <v>74</v>
      </c>
      <c r="D336" s="24">
        <f t="shared" si="5"/>
        <v>0.0056179775280898875</v>
      </c>
      <c r="E336" s="29">
        <f>_XLL.VOSEBINOMIAL(C336,D336)</f>
        <v>1</v>
      </c>
      <c r="F336" s="10">
        <f>_XLL.VOSEOUTPUT(Model!B336,,"Bacteria in bottle",323)+IF(SUM($F$14:F335)&gt;=n,0,E336)</f>
        <v>1</v>
      </c>
    </row>
    <row r="337" spans="2:6" ht="12.75" hidden="1">
      <c r="B337" s="9">
        <v>324</v>
      </c>
      <c r="C337" s="21">
        <f>IF(n-SUM($F$14:F336)=0,999,n-SUM($F$14:F336))</f>
        <v>73</v>
      </c>
      <c r="D337" s="24">
        <f t="shared" si="5"/>
        <v>0.005649717514124294</v>
      </c>
      <c r="E337" s="29">
        <f>_XLL.VOSEBINOMIAL(C337,D337)</f>
        <v>2</v>
      </c>
      <c r="F337" s="10">
        <f>_XLL.VOSEOUTPUT(Model!B337,,"Bacteria in bottle",324)+IF(SUM($F$14:F336)&gt;=n,0,E337)</f>
        <v>2</v>
      </c>
    </row>
    <row r="338" spans="2:6" ht="12.75" hidden="1">
      <c r="B338" s="9">
        <v>325</v>
      </c>
      <c r="C338" s="21">
        <f>IF(n-SUM($F$14:F337)=0,999,n-SUM($F$14:F337))</f>
        <v>71</v>
      </c>
      <c r="D338" s="24">
        <f t="shared" si="5"/>
        <v>0.005681818181818182</v>
      </c>
      <c r="E338" s="29">
        <f>_XLL.VOSEBINOMIAL(C338,D338)</f>
        <v>1</v>
      </c>
      <c r="F338" s="10">
        <f>_XLL.VOSEOUTPUT(Model!B338,,"Bacteria in bottle",325)+IF(SUM($F$14:F337)&gt;=n,0,E338)</f>
        <v>1</v>
      </c>
    </row>
    <row r="339" spans="2:6" ht="12.75" hidden="1">
      <c r="B339" s="9">
        <v>326</v>
      </c>
      <c r="C339" s="21">
        <f>IF(n-SUM($F$14:F338)=0,999,n-SUM($F$14:F338))</f>
        <v>70</v>
      </c>
      <c r="D339" s="24">
        <f t="shared" si="5"/>
        <v>0.005714285714285714</v>
      </c>
      <c r="E339" s="29">
        <f>_XLL.VOSEBINOMIAL(C339,D339)</f>
        <v>1</v>
      </c>
      <c r="F339" s="10">
        <f>_XLL.VOSEOUTPUT(Model!B339,,"Bacteria in bottle",326)+IF(SUM($F$14:F338)&gt;=n,0,E339)</f>
        <v>1</v>
      </c>
    </row>
    <row r="340" spans="2:6" ht="12.75" hidden="1">
      <c r="B340" s="9">
        <v>327</v>
      </c>
      <c r="C340" s="21">
        <f>IF(n-SUM($F$14:F339)=0,999,n-SUM($F$14:F339))</f>
        <v>69</v>
      </c>
      <c r="D340" s="24">
        <f t="shared" si="5"/>
        <v>0.005747126436781609</v>
      </c>
      <c r="E340" s="29">
        <f>_XLL.VOSEBINOMIAL(C340,D340)</f>
        <v>0</v>
      </c>
      <c r="F340" s="10">
        <f>_XLL.VOSEOUTPUT(Model!B340,,"Bacteria in bottle",327)+IF(SUM($F$14:F339)&gt;=n,0,E340)</f>
        <v>0</v>
      </c>
    </row>
    <row r="341" spans="2:6" ht="12.75" hidden="1">
      <c r="B341" s="9">
        <v>328</v>
      </c>
      <c r="C341" s="21">
        <f>IF(n-SUM($F$14:F340)=0,999,n-SUM($F$14:F340))</f>
        <v>69</v>
      </c>
      <c r="D341" s="24">
        <f t="shared" si="5"/>
        <v>0.005780346820809248</v>
      </c>
      <c r="E341" s="29">
        <f>_XLL.VOSEBINOMIAL(C341,D341)</f>
        <v>0</v>
      </c>
      <c r="F341" s="10">
        <f>_XLL.VOSEOUTPUT(Model!B341,,"Bacteria in bottle",328)+IF(SUM($F$14:F340)&gt;=n,0,E341)</f>
        <v>0</v>
      </c>
    </row>
    <row r="342" spans="2:6" ht="12.75" hidden="1">
      <c r="B342" s="9">
        <v>329</v>
      </c>
      <c r="C342" s="21">
        <f>IF(n-SUM($F$14:F341)=0,999,n-SUM($F$14:F341))</f>
        <v>69</v>
      </c>
      <c r="D342" s="24">
        <f t="shared" si="5"/>
        <v>0.005813953488372093</v>
      </c>
      <c r="E342" s="29">
        <f>_XLL.VOSEBINOMIAL(C342,D342)</f>
        <v>0</v>
      </c>
      <c r="F342" s="10">
        <f>_XLL.VOSEOUTPUT(Model!B342,,"Bacteria in bottle",329)+IF(SUM($F$14:F341)&gt;=n,0,E342)</f>
        <v>0</v>
      </c>
    </row>
    <row r="343" spans="2:6" ht="12.75" hidden="1">
      <c r="B343" s="9">
        <v>330</v>
      </c>
      <c r="C343" s="21">
        <f>IF(n-SUM($F$14:F342)=0,999,n-SUM($F$14:F342))</f>
        <v>69</v>
      </c>
      <c r="D343" s="24">
        <f t="shared" si="5"/>
        <v>0.005847953216374269</v>
      </c>
      <c r="E343" s="29">
        <f>_XLL.VOSEBINOMIAL(C343,D343)</f>
        <v>0</v>
      </c>
      <c r="F343" s="10">
        <f>_XLL.VOSEOUTPUT(Model!B343,,"Bacteria in bottle",330)+IF(SUM($F$14:F342)&gt;=n,0,E343)</f>
        <v>0</v>
      </c>
    </row>
    <row r="344" spans="2:6" ht="12.75" hidden="1">
      <c r="B344" s="9">
        <v>331</v>
      </c>
      <c r="C344" s="21">
        <f>IF(n-SUM($F$14:F343)=0,999,n-SUM($F$14:F343))</f>
        <v>69</v>
      </c>
      <c r="D344" s="24">
        <f t="shared" si="5"/>
        <v>0.0058823529411764705</v>
      </c>
      <c r="E344" s="29">
        <f>_XLL.VOSEBINOMIAL(C344,D344)</f>
        <v>0</v>
      </c>
      <c r="F344" s="10">
        <f>_XLL.VOSEOUTPUT(Model!B344,,"Bacteria in bottle",331)+IF(SUM($F$14:F343)&gt;=n,0,E344)</f>
        <v>0</v>
      </c>
    </row>
    <row r="345" spans="2:6" ht="12.75" hidden="1">
      <c r="B345" s="9">
        <v>332</v>
      </c>
      <c r="C345" s="21">
        <f>IF(n-SUM($F$14:F344)=0,999,n-SUM($F$14:F344))</f>
        <v>69</v>
      </c>
      <c r="D345" s="24">
        <f t="shared" si="5"/>
        <v>0.005917159763313609</v>
      </c>
      <c r="E345" s="29">
        <f>_XLL.VOSEBINOMIAL(C345,D345)</f>
        <v>0</v>
      </c>
      <c r="F345" s="10">
        <f>_XLL.VOSEOUTPUT(Model!B345,,"Bacteria in bottle",332)+IF(SUM($F$14:F344)&gt;=n,0,E345)</f>
        <v>0</v>
      </c>
    </row>
    <row r="346" spans="2:6" ht="12.75" hidden="1">
      <c r="B346" s="9">
        <v>333</v>
      </c>
      <c r="C346" s="21">
        <f>IF(n-SUM($F$14:F345)=0,999,n-SUM($F$14:F345))</f>
        <v>69</v>
      </c>
      <c r="D346" s="24">
        <f t="shared" si="5"/>
        <v>0.005952380952380952</v>
      </c>
      <c r="E346" s="29">
        <f>_XLL.VOSEBINOMIAL(C346,D346)</f>
        <v>0</v>
      </c>
      <c r="F346" s="10">
        <f>_XLL.VOSEOUTPUT(Model!B346,,"Bacteria in bottle",333)+IF(SUM($F$14:F345)&gt;=n,0,E346)</f>
        <v>0</v>
      </c>
    </row>
    <row r="347" spans="2:6" ht="12.75" hidden="1">
      <c r="B347" s="9">
        <v>334</v>
      </c>
      <c r="C347" s="21">
        <f>IF(n-SUM($F$14:F346)=0,999,n-SUM($F$14:F346))</f>
        <v>69</v>
      </c>
      <c r="D347" s="24">
        <f t="shared" si="5"/>
        <v>0.005988023952095809</v>
      </c>
      <c r="E347" s="29">
        <f>_XLL.VOSEBINOMIAL(C347,D347)</f>
        <v>1</v>
      </c>
      <c r="F347" s="10">
        <f>_XLL.VOSEOUTPUT(Model!B347,,"Bacteria in bottle",334)+IF(SUM($F$14:F346)&gt;=n,0,E347)</f>
        <v>1</v>
      </c>
    </row>
    <row r="348" spans="2:6" ht="12.75" hidden="1">
      <c r="B348" s="9">
        <v>335</v>
      </c>
      <c r="C348" s="21">
        <f>IF(n-SUM($F$14:F347)=0,999,n-SUM($F$14:F347))</f>
        <v>68</v>
      </c>
      <c r="D348" s="24">
        <f t="shared" si="5"/>
        <v>0.006024096385542169</v>
      </c>
      <c r="E348" s="29">
        <f>_XLL.VOSEBINOMIAL(C348,D348)</f>
        <v>0</v>
      </c>
      <c r="F348" s="10">
        <f>_XLL.VOSEOUTPUT(Model!B348,,"Bacteria in bottle",335)+IF(SUM($F$14:F347)&gt;=n,0,E348)</f>
        <v>0</v>
      </c>
    </row>
    <row r="349" spans="2:6" ht="12.75" hidden="1">
      <c r="B349" s="9">
        <v>336</v>
      </c>
      <c r="C349" s="21">
        <f>IF(n-SUM($F$14:F348)=0,999,n-SUM($F$14:F348))</f>
        <v>68</v>
      </c>
      <c r="D349" s="24">
        <f t="shared" si="5"/>
        <v>0.006060606060606061</v>
      </c>
      <c r="E349" s="29">
        <f>_XLL.VOSEBINOMIAL(C349,D349)</f>
        <v>0</v>
      </c>
      <c r="F349" s="10">
        <f>_XLL.VOSEOUTPUT(Model!B349,,"Bacteria in bottle",336)+IF(SUM($F$14:F348)&gt;=n,0,E349)</f>
        <v>0</v>
      </c>
    </row>
    <row r="350" spans="2:6" ht="12.75" hidden="1">
      <c r="B350" s="9">
        <v>337</v>
      </c>
      <c r="C350" s="21">
        <f>IF(n-SUM($F$14:F349)=0,999,n-SUM($F$14:F349))</f>
        <v>68</v>
      </c>
      <c r="D350" s="24">
        <f t="shared" si="5"/>
        <v>0.006097560975609756</v>
      </c>
      <c r="E350" s="29">
        <f>_XLL.VOSEBINOMIAL(C350,D350)</f>
        <v>0</v>
      </c>
      <c r="F350" s="10">
        <f>_XLL.VOSEOUTPUT(Model!B350,,"Bacteria in bottle",337)+IF(SUM($F$14:F349)&gt;=n,0,E350)</f>
        <v>0</v>
      </c>
    </row>
    <row r="351" spans="2:6" ht="12.75" hidden="1">
      <c r="B351" s="9">
        <v>338</v>
      </c>
      <c r="C351" s="21">
        <f>IF(n-SUM($F$14:F350)=0,999,n-SUM($F$14:F350))</f>
        <v>68</v>
      </c>
      <c r="D351" s="24">
        <f t="shared" si="5"/>
        <v>0.006134969325153374</v>
      </c>
      <c r="E351" s="29">
        <f>_XLL.VOSEBINOMIAL(C351,D351)</f>
        <v>1</v>
      </c>
      <c r="F351" s="10">
        <f>_XLL.VOSEOUTPUT(Model!B351,,"Bacteria in bottle",338)+IF(SUM($F$14:F350)&gt;=n,0,E351)</f>
        <v>1</v>
      </c>
    </row>
    <row r="352" spans="2:6" ht="12.75" hidden="1">
      <c r="B352" s="9">
        <v>339</v>
      </c>
      <c r="C352" s="21">
        <f>IF(n-SUM($F$14:F351)=0,999,n-SUM($F$14:F351))</f>
        <v>67</v>
      </c>
      <c r="D352" s="24">
        <f t="shared" si="5"/>
        <v>0.006172839506172839</v>
      </c>
      <c r="E352" s="29">
        <f>_XLL.VOSEBINOMIAL(C352,D352)</f>
        <v>0</v>
      </c>
      <c r="F352" s="10">
        <f>_XLL.VOSEOUTPUT(Model!B352,,"Bacteria in bottle",339)+IF(SUM($F$14:F351)&gt;=n,0,E352)</f>
        <v>0</v>
      </c>
    </row>
    <row r="353" spans="2:6" ht="12.75" hidden="1">
      <c r="B353" s="9">
        <v>340</v>
      </c>
      <c r="C353" s="21">
        <f>IF(n-SUM($F$14:F352)=0,999,n-SUM($F$14:F352))</f>
        <v>67</v>
      </c>
      <c r="D353" s="24">
        <f t="shared" si="5"/>
        <v>0.006211180124223602</v>
      </c>
      <c r="E353" s="29">
        <f>_XLL.VOSEBINOMIAL(C353,D353)</f>
        <v>2</v>
      </c>
      <c r="F353" s="10">
        <f>_XLL.VOSEOUTPUT(Model!B353,,"Bacteria in bottle",340)+IF(SUM($F$14:F352)&gt;=n,0,E353)</f>
        <v>2</v>
      </c>
    </row>
    <row r="354" spans="2:6" ht="12.75" hidden="1">
      <c r="B354" s="9">
        <v>341</v>
      </c>
      <c r="C354" s="21">
        <f>IF(n-SUM($F$14:F353)=0,999,n-SUM($F$14:F353))</f>
        <v>65</v>
      </c>
      <c r="D354" s="24">
        <f t="shared" si="5"/>
        <v>0.00625</v>
      </c>
      <c r="E354" s="29">
        <f>_XLL.VOSEBINOMIAL(C354,D354)</f>
        <v>0</v>
      </c>
      <c r="F354" s="10">
        <f>_XLL.VOSEOUTPUT(Model!B354,,"Bacteria in bottle",341)+IF(SUM($F$14:F353)&gt;=n,0,E354)</f>
        <v>0</v>
      </c>
    </row>
    <row r="355" spans="2:6" ht="12.75" hidden="1">
      <c r="B355" s="9">
        <v>342</v>
      </c>
      <c r="C355" s="21">
        <f>IF(n-SUM($F$14:F354)=0,999,n-SUM($F$14:F354))</f>
        <v>65</v>
      </c>
      <c r="D355" s="24">
        <f t="shared" si="5"/>
        <v>0.006289308176100629</v>
      </c>
      <c r="E355" s="29">
        <f>_XLL.VOSEBINOMIAL(C355,D355)</f>
        <v>0</v>
      </c>
      <c r="F355" s="10">
        <f>_XLL.VOSEOUTPUT(Model!B355,,"Bacteria in bottle",342)+IF(SUM($F$14:F354)&gt;=n,0,E355)</f>
        <v>0</v>
      </c>
    </row>
    <row r="356" spans="2:6" ht="12.75" hidden="1">
      <c r="B356" s="9">
        <v>343</v>
      </c>
      <c r="C356" s="21">
        <f>IF(n-SUM($F$14:F355)=0,999,n-SUM($F$14:F355))</f>
        <v>65</v>
      </c>
      <c r="D356" s="24">
        <f t="shared" si="5"/>
        <v>0.006329113924050633</v>
      </c>
      <c r="E356" s="29">
        <f>_XLL.VOSEBINOMIAL(C356,D356)</f>
        <v>0</v>
      </c>
      <c r="F356" s="10">
        <f>_XLL.VOSEOUTPUT(Model!B356,,"Bacteria in bottle",343)+IF(SUM($F$14:F355)&gt;=n,0,E356)</f>
        <v>0</v>
      </c>
    </row>
    <row r="357" spans="2:6" ht="12.75" hidden="1">
      <c r="B357" s="9">
        <v>344</v>
      </c>
      <c r="C357" s="21">
        <f>IF(n-SUM($F$14:F356)=0,999,n-SUM($F$14:F356))</f>
        <v>65</v>
      </c>
      <c r="D357" s="24">
        <f t="shared" si="5"/>
        <v>0.006369426751592357</v>
      </c>
      <c r="E357" s="29">
        <f>_XLL.VOSEBINOMIAL(C357,D357)</f>
        <v>1</v>
      </c>
      <c r="F357" s="10">
        <f>_XLL.VOSEOUTPUT(Model!B357,,"Bacteria in bottle",344)+IF(SUM($F$14:F356)&gt;=n,0,E357)</f>
        <v>1</v>
      </c>
    </row>
    <row r="358" spans="2:6" ht="12.75" hidden="1">
      <c r="B358" s="9">
        <v>345</v>
      </c>
      <c r="C358" s="21">
        <f>IF(n-SUM($F$14:F357)=0,999,n-SUM($F$14:F357))</f>
        <v>64</v>
      </c>
      <c r="D358" s="24">
        <f t="shared" si="5"/>
        <v>0.00641025641025641</v>
      </c>
      <c r="E358" s="29">
        <f>_XLL.VOSEBINOMIAL(C358,D358)</f>
        <v>0</v>
      </c>
      <c r="F358" s="10">
        <f>_XLL.VOSEOUTPUT(Model!B358,,"Bacteria in bottle",345)+IF(SUM($F$14:F357)&gt;=n,0,E358)</f>
        <v>0</v>
      </c>
    </row>
    <row r="359" spans="2:6" ht="12.75" hidden="1">
      <c r="B359" s="9">
        <v>346</v>
      </c>
      <c r="C359" s="21">
        <f>IF(n-SUM($F$14:F358)=0,999,n-SUM($F$14:F358))</f>
        <v>64</v>
      </c>
      <c r="D359" s="24">
        <f t="shared" si="5"/>
        <v>0.0064516129032258064</v>
      </c>
      <c r="E359" s="29">
        <f>_XLL.VOSEBINOMIAL(C359,D359)</f>
        <v>0</v>
      </c>
      <c r="F359" s="10">
        <f>_XLL.VOSEOUTPUT(Model!B359,,"Bacteria in bottle",346)+IF(SUM($F$14:F358)&gt;=n,0,E359)</f>
        <v>0</v>
      </c>
    </row>
    <row r="360" spans="2:6" ht="12.75" hidden="1">
      <c r="B360" s="9">
        <v>347</v>
      </c>
      <c r="C360" s="21">
        <f>IF(n-SUM($F$14:F359)=0,999,n-SUM($F$14:F359))</f>
        <v>64</v>
      </c>
      <c r="D360" s="24">
        <f t="shared" si="5"/>
        <v>0.006493506493506494</v>
      </c>
      <c r="E360" s="29">
        <f>_XLL.VOSEBINOMIAL(C360,D360)</f>
        <v>1</v>
      </c>
      <c r="F360" s="10">
        <f>_XLL.VOSEOUTPUT(Model!B360,,"Bacteria in bottle",347)+IF(SUM($F$14:F359)&gt;=n,0,E360)</f>
        <v>1</v>
      </c>
    </row>
    <row r="361" spans="2:6" ht="12.75" hidden="1">
      <c r="B361" s="9">
        <v>348</v>
      </c>
      <c r="C361" s="21">
        <f>IF(n-SUM($F$14:F360)=0,999,n-SUM($F$14:F360))</f>
        <v>63</v>
      </c>
      <c r="D361" s="24">
        <f t="shared" si="5"/>
        <v>0.006535947712418301</v>
      </c>
      <c r="E361" s="29">
        <f>_XLL.VOSEBINOMIAL(C361,D361)</f>
        <v>1</v>
      </c>
      <c r="F361" s="10">
        <f>_XLL.VOSEOUTPUT(Model!B361,,"Bacteria in bottle",348)+IF(SUM($F$14:F360)&gt;=n,0,E361)</f>
        <v>1</v>
      </c>
    </row>
    <row r="362" spans="2:6" ht="12.75" hidden="1">
      <c r="B362" s="9">
        <v>349</v>
      </c>
      <c r="C362" s="21">
        <f>IF(n-SUM($F$14:F361)=0,999,n-SUM($F$14:F361))</f>
        <v>62</v>
      </c>
      <c r="D362" s="24">
        <f t="shared" si="5"/>
        <v>0.006578947368421052</v>
      </c>
      <c r="E362" s="29">
        <f>_XLL.VOSEBINOMIAL(C362,D362)</f>
        <v>1</v>
      </c>
      <c r="F362" s="10">
        <f>_XLL.VOSEOUTPUT(Model!B362,,"Bacteria in bottle",349)+IF(SUM($F$14:F361)&gt;=n,0,E362)</f>
        <v>1</v>
      </c>
    </row>
    <row r="363" spans="2:6" ht="12.75" hidden="1">
      <c r="B363" s="9">
        <v>350</v>
      </c>
      <c r="C363" s="21">
        <f>IF(n-SUM($F$14:F362)=0,999,n-SUM($F$14:F362))</f>
        <v>61</v>
      </c>
      <c r="D363" s="24">
        <f t="shared" si="5"/>
        <v>0.006622516556291391</v>
      </c>
      <c r="E363" s="29">
        <f>_XLL.VOSEBINOMIAL(C363,D363)</f>
        <v>0</v>
      </c>
      <c r="F363" s="10">
        <f>_XLL.VOSEOUTPUT(Model!B363,,"Bacteria in bottle",350)+IF(SUM($F$14:F362)&gt;=n,0,E363)</f>
        <v>0</v>
      </c>
    </row>
    <row r="364" spans="2:6" ht="12.75" hidden="1">
      <c r="B364" s="9">
        <v>351</v>
      </c>
      <c r="C364" s="21">
        <f>IF(n-SUM($F$14:F363)=0,999,n-SUM($F$14:F363))</f>
        <v>61</v>
      </c>
      <c r="D364" s="24">
        <f t="shared" si="5"/>
        <v>0.006666666666666667</v>
      </c>
      <c r="E364" s="29">
        <f>_XLL.VOSEBINOMIAL(C364,D364)</f>
        <v>1</v>
      </c>
      <c r="F364" s="10">
        <f>_XLL.VOSEOUTPUT(Model!B364,,"Bacteria in bottle",351)+IF(SUM($F$14:F363)&gt;=n,0,E364)</f>
        <v>1</v>
      </c>
    </row>
    <row r="365" spans="2:6" ht="12.75" hidden="1">
      <c r="B365" s="9">
        <v>352</v>
      </c>
      <c r="C365" s="21">
        <f>IF(n-SUM($F$14:F364)=0,999,n-SUM($F$14:F364))</f>
        <v>60</v>
      </c>
      <c r="D365" s="24">
        <f t="shared" si="5"/>
        <v>0.006711409395973154</v>
      </c>
      <c r="E365" s="29">
        <f>_XLL.VOSEBINOMIAL(C365,D365)</f>
        <v>0</v>
      </c>
      <c r="F365" s="10">
        <f>_XLL.VOSEOUTPUT(Model!B365,,"Bacteria in bottle",352)+IF(SUM($F$14:F364)&gt;=n,0,E365)</f>
        <v>0</v>
      </c>
    </row>
    <row r="366" spans="2:6" ht="12.75" hidden="1">
      <c r="B366" s="9">
        <v>353</v>
      </c>
      <c r="C366" s="21">
        <f>IF(n-SUM($F$14:F365)=0,999,n-SUM($F$14:F365))</f>
        <v>60</v>
      </c>
      <c r="D366" s="24">
        <f t="shared" si="5"/>
        <v>0.006756756756756757</v>
      </c>
      <c r="E366" s="29">
        <f>_XLL.VOSEBINOMIAL(C366,D366)</f>
        <v>0</v>
      </c>
      <c r="F366" s="10">
        <f>_XLL.VOSEOUTPUT(Model!B366,,"Bacteria in bottle",353)+IF(SUM($F$14:F365)&gt;=n,0,E366)</f>
        <v>0</v>
      </c>
    </row>
    <row r="367" spans="2:6" ht="12.75" hidden="1">
      <c r="B367" s="9">
        <v>354</v>
      </c>
      <c r="C367" s="21">
        <f>IF(n-SUM($F$14:F366)=0,999,n-SUM($F$14:F366))</f>
        <v>60</v>
      </c>
      <c r="D367" s="24">
        <f t="shared" si="5"/>
        <v>0.006802721088435374</v>
      </c>
      <c r="E367" s="29">
        <f>_XLL.VOSEBINOMIAL(C367,D367)</f>
        <v>1</v>
      </c>
      <c r="F367" s="10">
        <f>_XLL.VOSEOUTPUT(Model!B367,,"Bacteria in bottle",354)+IF(SUM($F$14:F366)&gt;=n,0,E367)</f>
        <v>1</v>
      </c>
    </row>
    <row r="368" spans="2:6" ht="12.75" hidden="1">
      <c r="B368" s="9">
        <v>355</v>
      </c>
      <c r="C368" s="21">
        <f>IF(n-SUM($F$14:F367)=0,999,n-SUM($F$14:F367))</f>
        <v>59</v>
      </c>
      <c r="D368" s="24">
        <f t="shared" si="5"/>
        <v>0.00684931506849315</v>
      </c>
      <c r="E368" s="29">
        <f>_XLL.VOSEBINOMIAL(C368,D368)</f>
        <v>2</v>
      </c>
      <c r="F368" s="10">
        <f>_XLL.VOSEOUTPUT(Model!B368,,"Bacteria in bottle",355)+IF(SUM($F$14:F367)&gt;=n,0,E368)</f>
        <v>2</v>
      </c>
    </row>
    <row r="369" spans="2:6" ht="12.75" hidden="1">
      <c r="B369" s="9">
        <v>356</v>
      </c>
      <c r="C369" s="21">
        <f>IF(n-SUM($F$14:F368)=0,999,n-SUM($F$14:F368))</f>
        <v>57</v>
      </c>
      <c r="D369" s="24">
        <f t="shared" si="5"/>
        <v>0.006896551724137931</v>
      </c>
      <c r="E369" s="29">
        <f>_XLL.VOSEBINOMIAL(C369,D369)</f>
        <v>0</v>
      </c>
      <c r="F369" s="10">
        <f>_XLL.VOSEOUTPUT(Model!B369,,"Bacteria in bottle",356)+IF(SUM($F$14:F368)&gt;=n,0,E369)</f>
        <v>0</v>
      </c>
    </row>
    <row r="370" spans="2:6" ht="12.75" hidden="1">
      <c r="B370" s="9">
        <v>357</v>
      </c>
      <c r="C370" s="21">
        <f>IF(n-SUM($F$14:F369)=0,999,n-SUM($F$14:F369))</f>
        <v>57</v>
      </c>
      <c r="D370" s="24">
        <f t="shared" si="5"/>
        <v>0.006944444444444444</v>
      </c>
      <c r="E370" s="29">
        <f>_XLL.VOSEBINOMIAL(C370,D370)</f>
        <v>0</v>
      </c>
      <c r="F370" s="10">
        <f>_XLL.VOSEOUTPUT(Model!B370,,"Bacteria in bottle",357)+IF(SUM($F$14:F369)&gt;=n,0,E370)</f>
        <v>0</v>
      </c>
    </row>
    <row r="371" spans="2:6" ht="12.75" hidden="1">
      <c r="B371" s="9">
        <v>358</v>
      </c>
      <c r="C371" s="21">
        <f>IF(n-SUM($F$14:F370)=0,999,n-SUM($F$14:F370))</f>
        <v>57</v>
      </c>
      <c r="D371" s="24">
        <f t="shared" si="5"/>
        <v>0.006993006993006993</v>
      </c>
      <c r="E371" s="29">
        <f>_XLL.VOSEBINOMIAL(C371,D371)</f>
        <v>1</v>
      </c>
      <c r="F371" s="10">
        <f>_XLL.VOSEOUTPUT(Model!B371,,"Bacteria in bottle",358)+IF(SUM($F$14:F370)&gt;=n,0,E371)</f>
        <v>1</v>
      </c>
    </row>
    <row r="372" spans="2:6" ht="12.75" hidden="1">
      <c r="B372" s="9">
        <v>359</v>
      </c>
      <c r="C372" s="21">
        <f>IF(n-SUM($F$14:F371)=0,999,n-SUM($F$14:F371))</f>
        <v>56</v>
      </c>
      <c r="D372" s="24">
        <f t="shared" si="5"/>
        <v>0.007042253521126761</v>
      </c>
      <c r="E372" s="29">
        <f>_XLL.VOSEBINOMIAL(C372,D372)</f>
        <v>0</v>
      </c>
      <c r="F372" s="10">
        <f>_XLL.VOSEOUTPUT(Model!B372,,"Bacteria in bottle",359)+IF(SUM($F$14:F371)&gt;=n,0,E372)</f>
        <v>0</v>
      </c>
    </row>
    <row r="373" spans="2:6" ht="12.75" hidden="1">
      <c r="B373" s="9">
        <v>360</v>
      </c>
      <c r="C373" s="21">
        <f>IF(n-SUM($F$14:F372)=0,999,n-SUM($F$14:F372))</f>
        <v>56</v>
      </c>
      <c r="D373" s="24">
        <f t="shared" si="5"/>
        <v>0.0070921985815602835</v>
      </c>
      <c r="E373" s="29">
        <f>_XLL.VOSEBINOMIAL(C373,D373)</f>
        <v>1</v>
      </c>
      <c r="F373" s="10">
        <f>_XLL.VOSEOUTPUT(Model!B373,,"Bacteria in bottle",360)+IF(SUM($F$14:F372)&gt;=n,0,E373)</f>
        <v>1</v>
      </c>
    </row>
    <row r="374" spans="2:6" ht="12.75" hidden="1">
      <c r="B374" s="9">
        <v>361</v>
      </c>
      <c r="C374" s="21">
        <f>IF(n-SUM($F$14:F373)=0,999,n-SUM($F$14:F373))</f>
        <v>55</v>
      </c>
      <c r="D374" s="24">
        <f t="shared" si="5"/>
        <v>0.007142857142857143</v>
      </c>
      <c r="E374" s="29">
        <f>_XLL.VOSEBINOMIAL(C374,D374)</f>
        <v>0</v>
      </c>
      <c r="F374" s="10">
        <f>_XLL.VOSEOUTPUT(Model!B374,,"Bacteria in bottle",361)+IF(SUM($F$14:F373)&gt;=n,0,E374)</f>
        <v>0</v>
      </c>
    </row>
    <row r="375" spans="2:6" ht="12.75" hidden="1">
      <c r="B375" s="9">
        <v>362</v>
      </c>
      <c r="C375" s="21">
        <f>IF(n-SUM($F$14:F374)=0,999,n-SUM($F$14:F374))</f>
        <v>55</v>
      </c>
      <c r="D375" s="24">
        <f t="shared" si="5"/>
        <v>0.007194244604316547</v>
      </c>
      <c r="E375" s="29">
        <f>_XLL.VOSEBINOMIAL(C375,D375)</f>
        <v>0</v>
      </c>
      <c r="F375" s="10">
        <f>_XLL.VOSEOUTPUT(Model!B375,,"Bacteria in bottle",362)+IF(SUM($F$14:F374)&gt;=n,0,E375)</f>
        <v>0</v>
      </c>
    </row>
    <row r="376" spans="2:6" ht="12.75" hidden="1">
      <c r="B376" s="9">
        <v>363</v>
      </c>
      <c r="C376" s="21">
        <f>IF(n-SUM($F$14:F375)=0,999,n-SUM($F$14:F375))</f>
        <v>55</v>
      </c>
      <c r="D376" s="24">
        <f t="shared" si="5"/>
        <v>0.007246376811594203</v>
      </c>
      <c r="E376" s="29">
        <f>_XLL.VOSEBINOMIAL(C376,D376)</f>
        <v>0</v>
      </c>
      <c r="F376" s="10">
        <f>_XLL.VOSEOUTPUT(Model!B376,,"Bacteria in bottle",363)+IF(SUM($F$14:F375)&gt;=n,0,E376)</f>
        <v>0</v>
      </c>
    </row>
    <row r="377" spans="2:6" ht="12.75" hidden="1">
      <c r="B377" s="9">
        <v>364</v>
      </c>
      <c r="C377" s="21">
        <f>IF(n-SUM($F$14:F376)=0,999,n-SUM($F$14:F376))</f>
        <v>55</v>
      </c>
      <c r="D377" s="24">
        <f t="shared" si="5"/>
        <v>0.0072992700729927005</v>
      </c>
      <c r="E377" s="29">
        <f>_XLL.VOSEBINOMIAL(C377,D377)</f>
        <v>1</v>
      </c>
      <c r="F377" s="10">
        <f>_XLL.VOSEOUTPUT(Model!B377,,"Bacteria in bottle",364)+IF(SUM($F$14:F376)&gt;=n,0,E377)</f>
        <v>1</v>
      </c>
    </row>
    <row r="378" spans="2:6" ht="12.75" hidden="1">
      <c r="B378" s="9">
        <v>365</v>
      </c>
      <c r="C378" s="21">
        <f>IF(n-SUM($F$14:F377)=0,999,n-SUM($F$14:F377))</f>
        <v>54</v>
      </c>
      <c r="D378" s="24">
        <f t="shared" si="5"/>
        <v>0.007352941176470588</v>
      </c>
      <c r="E378" s="29">
        <f>_XLL.VOSEBINOMIAL(C378,D378)</f>
        <v>1</v>
      </c>
      <c r="F378" s="10">
        <f>_XLL.VOSEOUTPUT(Model!B378,,"Bacteria in bottle",365)+IF(SUM($F$14:F377)&gt;=n,0,E378)</f>
        <v>1</v>
      </c>
    </row>
    <row r="379" spans="2:6" ht="12.75" hidden="1">
      <c r="B379" s="9">
        <v>366</v>
      </c>
      <c r="C379" s="21">
        <f>IF(n-SUM($F$14:F378)=0,999,n-SUM($F$14:F378))</f>
        <v>53</v>
      </c>
      <c r="D379" s="24">
        <f t="shared" si="5"/>
        <v>0.007407407407407408</v>
      </c>
      <c r="E379" s="29">
        <f>_XLL.VOSEBINOMIAL(C379,D379)</f>
        <v>1</v>
      </c>
      <c r="F379" s="10">
        <f>_XLL.VOSEOUTPUT(Model!B379,,"Bacteria in bottle",366)+IF(SUM($F$14:F378)&gt;=n,0,E379)</f>
        <v>1</v>
      </c>
    </row>
    <row r="380" spans="2:6" ht="12.75" hidden="1">
      <c r="B380" s="9">
        <v>367</v>
      </c>
      <c r="C380" s="21">
        <f>IF(n-SUM($F$14:F379)=0,999,n-SUM($F$14:F379))</f>
        <v>52</v>
      </c>
      <c r="D380" s="24">
        <f t="shared" si="5"/>
        <v>0.007462686567164179</v>
      </c>
      <c r="E380" s="29">
        <f>_XLL.VOSEBINOMIAL(C380,D380)</f>
        <v>0</v>
      </c>
      <c r="F380" s="10">
        <f>_XLL.VOSEOUTPUT(Model!B380,,"Bacteria in bottle",367)+IF(SUM($F$14:F379)&gt;=n,0,E380)</f>
        <v>0</v>
      </c>
    </row>
    <row r="381" spans="2:6" ht="12.75" hidden="1">
      <c r="B381" s="9">
        <v>368</v>
      </c>
      <c r="C381" s="21">
        <f>IF(n-SUM($F$14:F380)=0,999,n-SUM($F$14:F380))</f>
        <v>52</v>
      </c>
      <c r="D381" s="24">
        <f t="shared" si="5"/>
        <v>0.007518796992481203</v>
      </c>
      <c r="E381" s="29">
        <f>_XLL.VOSEBINOMIAL(C381,D381)</f>
        <v>0</v>
      </c>
      <c r="F381" s="10">
        <f>_XLL.VOSEOUTPUT(Model!B381,,"Bacteria in bottle",368)+IF(SUM($F$14:F380)&gt;=n,0,E381)</f>
        <v>0</v>
      </c>
    </row>
    <row r="382" spans="2:6" ht="12.75" hidden="1">
      <c r="B382" s="9">
        <v>369</v>
      </c>
      <c r="C382" s="21">
        <f>IF(n-SUM($F$14:F381)=0,999,n-SUM($F$14:F381))</f>
        <v>52</v>
      </c>
      <c r="D382" s="24">
        <f t="shared" si="5"/>
        <v>0.007575757575757576</v>
      </c>
      <c r="E382" s="29">
        <f>_XLL.VOSEBINOMIAL(C382,D382)</f>
        <v>0</v>
      </c>
      <c r="F382" s="10">
        <f>_XLL.VOSEOUTPUT(Model!B382,,"Bacteria in bottle",369)+IF(SUM($F$14:F381)&gt;=n,0,E382)</f>
        <v>0</v>
      </c>
    </row>
    <row r="383" spans="2:6" ht="12.75" hidden="1">
      <c r="B383" s="9">
        <v>370</v>
      </c>
      <c r="C383" s="21">
        <f>IF(n-SUM($F$14:F382)=0,999,n-SUM($F$14:F382))</f>
        <v>52</v>
      </c>
      <c r="D383" s="24">
        <f t="shared" si="5"/>
        <v>0.007633587786259542</v>
      </c>
      <c r="E383" s="29">
        <f>_XLL.VOSEBINOMIAL(C383,D383)</f>
        <v>0</v>
      </c>
      <c r="F383" s="10">
        <f>_XLL.VOSEOUTPUT(Model!B383,,"Bacteria in bottle",370)+IF(SUM($F$14:F382)&gt;=n,0,E383)</f>
        <v>0</v>
      </c>
    </row>
    <row r="384" spans="2:6" ht="12.75" hidden="1">
      <c r="B384" s="9">
        <v>371</v>
      </c>
      <c r="C384" s="21">
        <f>IF(n-SUM($F$14:F383)=0,999,n-SUM($F$14:F383))</f>
        <v>52</v>
      </c>
      <c r="D384" s="24">
        <f t="shared" si="5"/>
        <v>0.007692307692307693</v>
      </c>
      <c r="E384" s="29">
        <f>_XLL.VOSEBINOMIAL(C384,D384)</f>
        <v>0</v>
      </c>
      <c r="F384" s="10">
        <f>_XLL.VOSEOUTPUT(Model!B384,,"Bacteria in bottle",371)+IF(SUM($F$14:F383)&gt;=n,0,E384)</f>
        <v>0</v>
      </c>
    </row>
    <row r="385" spans="2:6" ht="12.75" hidden="1">
      <c r="B385" s="9">
        <v>372</v>
      </c>
      <c r="C385" s="21">
        <f>IF(n-SUM($F$14:F384)=0,999,n-SUM($F$14:F384))</f>
        <v>52</v>
      </c>
      <c r="D385" s="24">
        <f t="shared" si="5"/>
        <v>0.007751937984496124</v>
      </c>
      <c r="E385" s="29">
        <f>_XLL.VOSEBINOMIAL(C385,D385)</f>
        <v>0</v>
      </c>
      <c r="F385" s="10">
        <f>_XLL.VOSEOUTPUT(Model!B385,,"Bacteria in bottle",372)+IF(SUM($F$14:F384)&gt;=n,0,E385)</f>
        <v>0</v>
      </c>
    </row>
    <row r="386" spans="2:6" ht="12.75" hidden="1">
      <c r="B386" s="9">
        <v>373</v>
      </c>
      <c r="C386" s="21">
        <f>IF(n-SUM($F$14:F385)=0,999,n-SUM($F$14:F385))</f>
        <v>52</v>
      </c>
      <c r="D386" s="24">
        <f t="shared" si="5"/>
        <v>0.0078125</v>
      </c>
      <c r="E386" s="29">
        <f>_XLL.VOSEBINOMIAL(C386,D386)</f>
        <v>0</v>
      </c>
      <c r="F386" s="10">
        <f>_XLL.VOSEOUTPUT(Model!B386,,"Bacteria in bottle",373)+IF(SUM($F$14:F385)&gt;=n,0,E386)</f>
        <v>0</v>
      </c>
    </row>
    <row r="387" spans="2:6" ht="12.75" hidden="1">
      <c r="B387" s="9">
        <v>374</v>
      </c>
      <c r="C387" s="21">
        <f>IF(n-SUM($F$14:F386)=0,999,n-SUM($F$14:F386))</f>
        <v>52</v>
      </c>
      <c r="D387" s="24">
        <f t="shared" si="5"/>
        <v>0.007874015748031496</v>
      </c>
      <c r="E387" s="29">
        <f>_XLL.VOSEBINOMIAL(C387,D387)</f>
        <v>1</v>
      </c>
      <c r="F387" s="10">
        <f>_XLL.VOSEOUTPUT(Model!B387,,"Bacteria in bottle",374)+IF(SUM($F$14:F386)&gt;=n,0,E387)</f>
        <v>1</v>
      </c>
    </row>
    <row r="388" spans="2:6" ht="12.75" hidden="1">
      <c r="B388" s="9">
        <v>375</v>
      </c>
      <c r="C388" s="21">
        <f>IF(n-SUM($F$14:F387)=0,999,n-SUM($F$14:F387))</f>
        <v>51</v>
      </c>
      <c r="D388" s="24">
        <f t="shared" si="5"/>
        <v>0.007936507936507936</v>
      </c>
      <c r="E388" s="29">
        <f>_XLL.VOSEBINOMIAL(C388,D388)</f>
        <v>0</v>
      </c>
      <c r="F388" s="10">
        <f>_XLL.VOSEOUTPUT(Model!B388,,"Bacteria in bottle",375)+IF(SUM($F$14:F387)&gt;=n,0,E388)</f>
        <v>0</v>
      </c>
    </row>
    <row r="389" spans="2:6" ht="12.75" hidden="1">
      <c r="B389" s="9">
        <v>376</v>
      </c>
      <c r="C389" s="21">
        <f>IF(n-SUM($F$14:F388)=0,999,n-SUM($F$14:F388))</f>
        <v>51</v>
      </c>
      <c r="D389" s="24">
        <f t="shared" si="5"/>
        <v>0.008</v>
      </c>
      <c r="E389" s="29">
        <f>_XLL.VOSEBINOMIAL(C389,D389)</f>
        <v>3</v>
      </c>
      <c r="F389" s="10">
        <f>_XLL.VOSEOUTPUT(Model!B389,,"Bacteria in bottle",376)+IF(SUM($F$14:F388)&gt;=n,0,E389)</f>
        <v>3</v>
      </c>
    </row>
    <row r="390" spans="2:6" ht="12.75" hidden="1">
      <c r="B390" s="9">
        <v>377</v>
      </c>
      <c r="C390" s="21">
        <f>IF(n-SUM($F$14:F389)=0,999,n-SUM($F$14:F389))</f>
        <v>48</v>
      </c>
      <c r="D390" s="24">
        <f t="shared" si="5"/>
        <v>0.008064516129032258</v>
      </c>
      <c r="E390" s="29">
        <f>_XLL.VOSEBINOMIAL(C390,D390)</f>
        <v>0</v>
      </c>
      <c r="F390" s="10">
        <f>_XLL.VOSEOUTPUT(Model!B390,,"Bacteria in bottle",377)+IF(SUM($F$14:F389)&gt;=n,0,E390)</f>
        <v>0</v>
      </c>
    </row>
    <row r="391" spans="2:6" ht="12.75" hidden="1">
      <c r="B391" s="9">
        <v>378</v>
      </c>
      <c r="C391" s="21">
        <f>IF(n-SUM($F$14:F390)=0,999,n-SUM($F$14:F390))</f>
        <v>48</v>
      </c>
      <c r="D391" s="24">
        <f t="shared" si="5"/>
        <v>0.008130081300813009</v>
      </c>
      <c r="E391" s="29">
        <f>_XLL.VOSEBINOMIAL(C391,D391)</f>
        <v>0</v>
      </c>
      <c r="F391" s="10">
        <f>_XLL.VOSEOUTPUT(Model!B391,,"Bacteria in bottle",378)+IF(SUM($F$14:F390)&gt;=n,0,E391)</f>
        <v>0</v>
      </c>
    </row>
    <row r="392" spans="2:6" ht="12.75" hidden="1">
      <c r="B392" s="9">
        <v>379</v>
      </c>
      <c r="C392" s="21">
        <f>IF(n-SUM($F$14:F391)=0,999,n-SUM($F$14:F391))</f>
        <v>48</v>
      </c>
      <c r="D392" s="24">
        <f t="shared" si="5"/>
        <v>0.00819672131147541</v>
      </c>
      <c r="E392" s="29">
        <f>_XLL.VOSEBINOMIAL(C392,D392)</f>
        <v>0</v>
      </c>
      <c r="F392" s="10">
        <f>_XLL.VOSEOUTPUT(Model!B392,,"Bacteria in bottle",379)+IF(SUM($F$14:F391)&gt;=n,0,E392)</f>
        <v>0</v>
      </c>
    </row>
    <row r="393" spans="2:6" ht="12.75" hidden="1">
      <c r="B393" s="9">
        <v>380</v>
      </c>
      <c r="C393" s="21">
        <f>IF(n-SUM($F$14:F392)=0,999,n-SUM($F$14:F392))</f>
        <v>48</v>
      </c>
      <c r="D393" s="24">
        <f t="shared" si="5"/>
        <v>0.008264462809917356</v>
      </c>
      <c r="E393" s="29">
        <f>_XLL.VOSEBINOMIAL(C393,D393)</f>
        <v>0</v>
      </c>
      <c r="F393" s="10">
        <f>_XLL.VOSEOUTPUT(Model!B393,,"Bacteria in bottle",380)+IF(SUM($F$14:F392)&gt;=n,0,E393)</f>
        <v>0</v>
      </c>
    </row>
    <row r="394" spans="2:6" ht="12.75" hidden="1">
      <c r="B394" s="9">
        <v>381</v>
      </c>
      <c r="C394" s="21">
        <f>IF(n-SUM($F$14:F393)=0,999,n-SUM($F$14:F393))</f>
        <v>48</v>
      </c>
      <c r="D394" s="24">
        <f t="shared" si="5"/>
        <v>0.008333333333333333</v>
      </c>
      <c r="E394" s="29">
        <f>_XLL.VOSEBINOMIAL(C394,D394)</f>
        <v>1</v>
      </c>
      <c r="F394" s="10">
        <f>_XLL.VOSEOUTPUT(Model!B394,,"Bacteria in bottle",381)+IF(SUM($F$14:F393)&gt;=n,0,E394)</f>
        <v>1</v>
      </c>
    </row>
    <row r="395" spans="2:6" ht="12.75" hidden="1">
      <c r="B395" s="9">
        <v>382</v>
      </c>
      <c r="C395" s="21">
        <f>IF(n-SUM($F$14:F394)=0,999,n-SUM($F$14:F394))</f>
        <v>47</v>
      </c>
      <c r="D395" s="24">
        <f t="shared" si="5"/>
        <v>0.008403361344537815</v>
      </c>
      <c r="E395" s="29">
        <f>_XLL.VOSEBINOMIAL(C395,D395)</f>
        <v>0</v>
      </c>
      <c r="F395" s="10">
        <f>_XLL.VOSEOUTPUT(Model!B395,,"Bacteria in bottle",382)+IF(SUM($F$14:F394)&gt;=n,0,E395)</f>
        <v>0</v>
      </c>
    </row>
    <row r="396" spans="2:6" ht="12.75" hidden="1">
      <c r="B396" s="9">
        <v>383</v>
      </c>
      <c r="C396" s="21">
        <f>IF(n-SUM($F$14:F395)=0,999,n-SUM($F$14:F395))</f>
        <v>47</v>
      </c>
      <c r="D396" s="24">
        <f t="shared" si="5"/>
        <v>0.00847457627118644</v>
      </c>
      <c r="E396" s="29">
        <f>_XLL.VOSEBINOMIAL(C396,D396)</f>
        <v>0</v>
      </c>
      <c r="F396" s="10">
        <f>_XLL.VOSEOUTPUT(Model!B396,,"Bacteria in bottle",383)+IF(SUM($F$14:F395)&gt;=n,0,E396)</f>
        <v>0</v>
      </c>
    </row>
    <row r="397" spans="2:6" ht="12.75" hidden="1">
      <c r="B397" s="9">
        <v>384</v>
      </c>
      <c r="C397" s="21">
        <f>IF(n-SUM($F$14:F396)=0,999,n-SUM($F$14:F396))</f>
        <v>47</v>
      </c>
      <c r="D397" s="24">
        <f t="shared" si="5"/>
        <v>0.008547008547008548</v>
      </c>
      <c r="E397" s="29">
        <f>_XLL.VOSEBINOMIAL(C397,D397)</f>
        <v>1</v>
      </c>
      <c r="F397" s="10">
        <f>_XLL.VOSEOUTPUT(Model!B397,,"Bacteria in bottle",384)+IF(SUM($F$14:F396)&gt;=n,0,E397)</f>
        <v>1</v>
      </c>
    </row>
    <row r="398" spans="2:6" ht="12.75" hidden="1">
      <c r="B398" s="9">
        <v>385</v>
      </c>
      <c r="C398" s="21">
        <f>IF(n-SUM($F$14:F397)=0,999,n-SUM($F$14:F397))</f>
        <v>46</v>
      </c>
      <c r="D398" s="24">
        <f t="shared" si="5"/>
        <v>0.008620689655172414</v>
      </c>
      <c r="E398" s="29">
        <f>_XLL.VOSEBINOMIAL(C398,D398)</f>
        <v>1</v>
      </c>
      <c r="F398" s="10">
        <f>_XLL.VOSEOUTPUT(Model!B398,,"Bacteria in bottle",385)+IF(SUM($F$14:F397)&gt;=n,0,E398)</f>
        <v>1</v>
      </c>
    </row>
    <row r="399" spans="2:6" ht="12.75" hidden="1">
      <c r="B399" s="9">
        <v>386</v>
      </c>
      <c r="C399" s="21">
        <f>IF(n-SUM($F$14:F398)=0,999,n-SUM($F$14:F398))</f>
        <v>45</v>
      </c>
      <c r="D399" s="24">
        <f aca="true" t="shared" si="6" ref="D399:D462">B/(V-B398*B)</f>
        <v>0.008695652173913044</v>
      </c>
      <c r="E399" s="29">
        <f>_XLL.VOSEBINOMIAL(C399,D399)</f>
        <v>0</v>
      </c>
      <c r="F399" s="10">
        <f>_XLL.VOSEOUTPUT(Model!B399,,"Bacteria in bottle",386)+IF(SUM($F$14:F398)&gt;=n,0,E399)</f>
        <v>0</v>
      </c>
    </row>
    <row r="400" spans="2:6" ht="12.75" hidden="1">
      <c r="B400" s="9">
        <v>387</v>
      </c>
      <c r="C400" s="21">
        <f>IF(n-SUM($F$14:F399)=0,999,n-SUM($F$14:F399))</f>
        <v>45</v>
      </c>
      <c r="D400" s="24">
        <f t="shared" si="6"/>
        <v>0.008771929824561403</v>
      </c>
      <c r="E400" s="29">
        <f>_XLL.VOSEBINOMIAL(C400,D400)</f>
        <v>0</v>
      </c>
      <c r="F400" s="10">
        <f>_XLL.VOSEOUTPUT(Model!B400,,"Bacteria in bottle",387)+IF(SUM($F$14:F399)&gt;=n,0,E400)</f>
        <v>0</v>
      </c>
    </row>
    <row r="401" spans="2:6" ht="12.75" hidden="1">
      <c r="B401" s="9">
        <v>388</v>
      </c>
      <c r="C401" s="21">
        <f>IF(n-SUM($F$14:F400)=0,999,n-SUM($F$14:F400))</f>
        <v>45</v>
      </c>
      <c r="D401" s="24">
        <f t="shared" si="6"/>
        <v>0.008849557522123894</v>
      </c>
      <c r="E401" s="29">
        <f>_XLL.VOSEBINOMIAL(C401,D401)</f>
        <v>0</v>
      </c>
      <c r="F401" s="10">
        <f>_XLL.VOSEOUTPUT(Model!B401,,"Bacteria in bottle",388)+IF(SUM($F$14:F400)&gt;=n,0,E401)</f>
        <v>0</v>
      </c>
    </row>
    <row r="402" spans="2:6" ht="12.75" hidden="1">
      <c r="B402" s="9">
        <v>389</v>
      </c>
      <c r="C402" s="21">
        <f>IF(n-SUM($F$14:F401)=0,999,n-SUM($F$14:F401))</f>
        <v>45</v>
      </c>
      <c r="D402" s="24">
        <f t="shared" si="6"/>
        <v>0.008928571428571428</v>
      </c>
      <c r="E402" s="29">
        <f>_XLL.VOSEBINOMIAL(C402,D402)</f>
        <v>0</v>
      </c>
      <c r="F402" s="10">
        <f>_XLL.VOSEOUTPUT(Model!B402,,"Bacteria in bottle",389)+IF(SUM($F$14:F401)&gt;=n,0,E402)</f>
        <v>0</v>
      </c>
    </row>
    <row r="403" spans="2:6" ht="12.75" hidden="1">
      <c r="B403" s="9">
        <v>390</v>
      </c>
      <c r="C403" s="21">
        <f>IF(n-SUM($F$14:F402)=0,999,n-SUM($F$14:F402))</f>
        <v>45</v>
      </c>
      <c r="D403" s="24">
        <f t="shared" si="6"/>
        <v>0.009009009009009009</v>
      </c>
      <c r="E403" s="29">
        <f>_XLL.VOSEBINOMIAL(C403,D403)</f>
        <v>1</v>
      </c>
      <c r="F403" s="10">
        <f>_XLL.VOSEOUTPUT(Model!B403,,"Bacteria in bottle",390)+IF(SUM($F$14:F402)&gt;=n,0,E403)</f>
        <v>1</v>
      </c>
    </row>
    <row r="404" spans="2:6" ht="12.75" hidden="1">
      <c r="B404" s="9">
        <v>391</v>
      </c>
      <c r="C404" s="21">
        <f>IF(n-SUM($F$14:F403)=0,999,n-SUM($F$14:F403))</f>
        <v>44</v>
      </c>
      <c r="D404" s="24">
        <f t="shared" si="6"/>
        <v>0.00909090909090909</v>
      </c>
      <c r="E404" s="29">
        <f>_XLL.VOSEBINOMIAL(C404,D404)</f>
        <v>2</v>
      </c>
      <c r="F404" s="10">
        <f>_XLL.VOSEOUTPUT(Model!B404,,"Bacteria in bottle",391)+IF(SUM($F$14:F403)&gt;=n,0,E404)</f>
        <v>2</v>
      </c>
    </row>
    <row r="405" spans="2:6" ht="12.75" hidden="1">
      <c r="B405" s="9">
        <v>392</v>
      </c>
      <c r="C405" s="21">
        <f>IF(n-SUM($F$14:F404)=0,999,n-SUM($F$14:F404))</f>
        <v>42</v>
      </c>
      <c r="D405" s="24">
        <f t="shared" si="6"/>
        <v>0.009174311926605505</v>
      </c>
      <c r="E405" s="29">
        <f>_XLL.VOSEBINOMIAL(C405,D405)</f>
        <v>0</v>
      </c>
      <c r="F405" s="10">
        <f>_XLL.VOSEOUTPUT(Model!B405,,"Bacteria in bottle",392)+IF(SUM($F$14:F404)&gt;=n,0,E405)</f>
        <v>0</v>
      </c>
    </row>
    <row r="406" spans="2:6" ht="12.75" hidden="1">
      <c r="B406" s="9">
        <v>393</v>
      </c>
      <c r="C406" s="21">
        <f>IF(n-SUM($F$14:F405)=0,999,n-SUM($F$14:F405))</f>
        <v>42</v>
      </c>
      <c r="D406" s="24">
        <f t="shared" si="6"/>
        <v>0.009259259259259259</v>
      </c>
      <c r="E406" s="29">
        <f>_XLL.VOSEBINOMIAL(C406,D406)</f>
        <v>0</v>
      </c>
      <c r="F406" s="10">
        <f>_XLL.VOSEOUTPUT(Model!B406,,"Bacteria in bottle",393)+IF(SUM($F$14:F405)&gt;=n,0,E406)</f>
        <v>0</v>
      </c>
    </row>
    <row r="407" spans="2:6" ht="12.75" hidden="1">
      <c r="B407" s="9">
        <v>394</v>
      </c>
      <c r="C407" s="21">
        <f>IF(n-SUM($F$14:F406)=0,999,n-SUM($F$14:F406))</f>
        <v>42</v>
      </c>
      <c r="D407" s="24">
        <f t="shared" si="6"/>
        <v>0.009345794392523364</v>
      </c>
      <c r="E407" s="29">
        <f>_XLL.VOSEBINOMIAL(C407,D407)</f>
        <v>0</v>
      </c>
      <c r="F407" s="10">
        <f>_XLL.VOSEOUTPUT(Model!B407,,"Bacteria in bottle",394)+IF(SUM($F$14:F406)&gt;=n,0,E407)</f>
        <v>0</v>
      </c>
    </row>
    <row r="408" spans="2:6" ht="12.75" hidden="1">
      <c r="B408" s="9">
        <v>395</v>
      </c>
      <c r="C408" s="21">
        <f>IF(n-SUM($F$14:F407)=0,999,n-SUM($F$14:F407))</f>
        <v>42</v>
      </c>
      <c r="D408" s="24">
        <f t="shared" si="6"/>
        <v>0.009433962264150943</v>
      </c>
      <c r="E408" s="29">
        <f>_XLL.VOSEBINOMIAL(C408,D408)</f>
        <v>0</v>
      </c>
      <c r="F408" s="10">
        <f>_XLL.VOSEOUTPUT(Model!B408,,"Bacteria in bottle",395)+IF(SUM($F$14:F407)&gt;=n,0,E408)</f>
        <v>0</v>
      </c>
    </row>
    <row r="409" spans="2:6" ht="12.75" hidden="1">
      <c r="B409" s="9">
        <v>396</v>
      </c>
      <c r="C409" s="21">
        <f>IF(n-SUM($F$14:F408)=0,999,n-SUM($F$14:F408))</f>
        <v>42</v>
      </c>
      <c r="D409" s="24">
        <f t="shared" si="6"/>
        <v>0.009523809523809525</v>
      </c>
      <c r="E409" s="29">
        <f>_XLL.VOSEBINOMIAL(C409,D409)</f>
        <v>0</v>
      </c>
      <c r="F409" s="10">
        <f>_XLL.VOSEOUTPUT(Model!B409,,"Bacteria in bottle",396)+IF(SUM($F$14:F408)&gt;=n,0,E409)</f>
        <v>0</v>
      </c>
    </row>
    <row r="410" spans="2:6" ht="12.75" hidden="1">
      <c r="B410" s="9">
        <v>397</v>
      </c>
      <c r="C410" s="21">
        <f>IF(n-SUM($F$14:F409)=0,999,n-SUM($F$14:F409))</f>
        <v>42</v>
      </c>
      <c r="D410" s="24">
        <f t="shared" si="6"/>
        <v>0.009615384615384616</v>
      </c>
      <c r="E410" s="29">
        <f>_XLL.VOSEBINOMIAL(C410,D410)</f>
        <v>1</v>
      </c>
      <c r="F410" s="10">
        <f>_XLL.VOSEOUTPUT(Model!B410,,"Bacteria in bottle",397)+IF(SUM($F$14:F409)&gt;=n,0,E410)</f>
        <v>1</v>
      </c>
    </row>
    <row r="411" spans="2:6" ht="12.75" hidden="1">
      <c r="B411" s="9">
        <v>398</v>
      </c>
      <c r="C411" s="21">
        <f>IF(n-SUM($F$14:F410)=0,999,n-SUM($F$14:F410))</f>
        <v>41</v>
      </c>
      <c r="D411" s="24">
        <f t="shared" si="6"/>
        <v>0.009708737864077669</v>
      </c>
      <c r="E411" s="29">
        <f>_XLL.VOSEBINOMIAL(C411,D411)</f>
        <v>0</v>
      </c>
      <c r="F411" s="10">
        <f>_XLL.VOSEOUTPUT(Model!B411,,"Bacteria in bottle",398)+IF(SUM($F$14:F410)&gt;=n,0,E411)</f>
        <v>0</v>
      </c>
    </row>
    <row r="412" spans="2:6" ht="12.75" hidden="1">
      <c r="B412" s="9">
        <v>399</v>
      </c>
      <c r="C412" s="21">
        <f>IF(n-SUM($F$14:F411)=0,999,n-SUM($F$14:F411))</f>
        <v>41</v>
      </c>
      <c r="D412" s="24">
        <f t="shared" si="6"/>
        <v>0.00980392156862745</v>
      </c>
      <c r="E412" s="29">
        <f>_XLL.VOSEBINOMIAL(C412,D412)</f>
        <v>1</v>
      </c>
      <c r="F412" s="10">
        <f>_XLL.VOSEOUTPUT(Model!B412,,"Bacteria in bottle",399)+IF(SUM($F$14:F411)&gt;=n,0,E412)</f>
        <v>1</v>
      </c>
    </row>
    <row r="413" spans="2:6" ht="12.75" hidden="1">
      <c r="B413" s="9">
        <v>400</v>
      </c>
      <c r="C413" s="21">
        <f>IF(n-SUM($F$14:F412)=0,999,n-SUM($F$14:F412))</f>
        <v>40</v>
      </c>
      <c r="D413" s="24">
        <f t="shared" si="6"/>
        <v>0.009900990099009901</v>
      </c>
      <c r="E413" s="29">
        <f>_XLL.VOSEBINOMIAL(C413,D413)</f>
        <v>0</v>
      </c>
      <c r="F413" s="10">
        <f>_XLL.VOSEOUTPUT(Model!B413,,"Bacteria in bottle",400)+IF(SUM($F$14:F412)&gt;=n,0,E413)</f>
        <v>0</v>
      </c>
    </row>
    <row r="414" spans="2:6" ht="12.75" hidden="1">
      <c r="B414" s="9">
        <v>401</v>
      </c>
      <c r="C414" s="21">
        <f>IF(n-SUM($F$14:F413)=0,999,n-SUM($F$14:F413))</f>
        <v>40</v>
      </c>
      <c r="D414" s="24">
        <f t="shared" si="6"/>
        <v>0.01</v>
      </c>
      <c r="E414" s="29">
        <f>_XLL.VOSEBINOMIAL(C414,D414)</f>
        <v>1</v>
      </c>
      <c r="F414" s="10">
        <f>_XLL.VOSEOUTPUT(Model!B414,,"Bacteria in bottle",401)+IF(SUM($F$14:F413)&gt;=n,0,E414)</f>
        <v>1</v>
      </c>
    </row>
    <row r="415" spans="2:6" ht="12.75" hidden="1">
      <c r="B415" s="9">
        <v>402</v>
      </c>
      <c r="C415" s="21">
        <f>IF(n-SUM($F$14:F414)=0,999,n-SUM($F$14:F414))</f>
        <v>39</v>
      </c>
      <c r="D415" s="24">
        <f t="shared" si="6"/>
        <v>0.010101010101010102</v>
      </c>
      <c r="E415" s="29">
        <f>_XLL.VOSEBINOMIAL(C415,D415)</f>
        <v>1</v>
      </c>
      <c r="F415" s="10">
        <f>_XLL.VOSEOUTPUT(Model!B415,,"Bacteria in bottle",402)+IF(SUM($F$14:F414)&gt;=n,0,E415)</f>
        <v>1</v>
      </c>
    </row>
    <row r="416" spans="2:6" ht="12.75" hidden="1">
      <c r="B416" s="9">
        <v>403</v>
      </c>
      <c r="C416" s="21">
        <f>IF(n-SUM($F$14:F415)=0,999,n-SUM($F$14:F415))</f>
        <v>38</v>
      </c>
      <c r="D416" s="24">
        <f t="shared" si="6"/>
        <v>0.01020408163265306</v>
      </c>
      <c r="E416" s="29">
        <f>_XLL.VOSEBINOMIAL(C416,D416)</f>
        <v>0</v>
      </c>
      <c r="F416" s="10">
        <f>_XLL.VOSEOUTPUT(Model!B416,,"Bacteria in bottle",403)+IF(SUM($F$14:F415)&gt;=n,0,E416)</f>
        <v>0</v>
      </c>
    </row>
    <row r="417" spans="2:6" ht="12.75" hidden="1">
      <c r="B417" s="9">
        <v>404</v>
      </c>
      <c r="C417" s="21">
        <f>IF(n-SUM($F$14:F416)=0,999,n-SUM($F$14:F416))</f>
        <v>38</v>
      </c>
      <c r="D417" s="24">
        <f t="shared" si="6"/>
        <v>0.010309278350515464</v>
      </c>
      <c r="E417" s="29">
        <f>_XLL.VOSEBINOMIAL(C417,D417)</f>
        <v>0</v>
      </c>
      <c r="F417" s="10">
        <f>_XLL.VOSEOUTPUT(Model!B417,,"Bacteria in bottle",404)+IF(SUM($F$14:F416)&gt;=n,0,E417)</f>
        <v>0</v>
      </c>
    </row>
    <row r="418" spans="2:6" ht="12.75" hidden="1">
      <c r="B418" s="9">
        <v>405</v>
      </c>
      <c r="C418" s="21">
        <f>IF(n-SUM($F$14:F417)=0,999,n-SUM($F$14:F417))</f>
        <v>38</v>
      </c>
      <c r="D418" s="24">
        <f t="shared" si="6"/>
        <v>0.010416666666666666</v>
      </c>
      <c r="E418" s="29">
        <f>_XLL.VOSEBINOMIAL(C418,D418)</f>
        <v>0</v>
      </c>
      <c r="F418" s="10">
        <f>_XLL.VOSEOUTPUT(Model!B418,,"Bacteria in bottle",405)+IF(SUM($F$14:F417)&gt;=n,0,E418)</f>
        <v>0</v>
      </c>
    </row>
    <row r="419" spans="2:6" ht="12.75" hidden="1">
      <c r="B419" s="9">
        <v>406</v>
      </c>
      <c r="C419" s="21">
        <f>IF(n-SUM($F$14:F418)=0,999,n-SUM($F$14:F418))</f>
        <v>38</v>
      </c>
      <c r="D419" s="24">
        <f t="shared" si="6"/>
        <v>0.010526315789473684</v>
      </c>
      <c r="E419" s="29">
        <f>_XLL.VOSEBINOMIAL(C419,D419)</f>
        <v>2</v>
      </c>
      <c r="F419" s="10">
        <f>_XLL.VOSEOUTPUT(Model!B419,,"Bacteria in bottle",406)+IF(SUM($F$14:F418)&gt;=n,0,E419)</f>
        <v>2</v>
      </c>
    </row>
    <row r="420" spans="2:6" ht="12.75" hidden="1">
      <c r="B420" s="9">
        <v>407</v>
      </c>
      <c r="C420" s="21">
        <f>IF(n-SUM($F$14:F419)=0,999,n-SUM($F$14:F419))</f>
        <v>36</v>
      </c>
      <c r="D420" s="24">
        <f t="shared" si="6"/>
        <v>0.010638297872340425</v>
      </c>
      <c r="E420" s="29">
        <f>_XLL.VOSEBINOMIAL(C420,D420)</f>
        <v>0</v>
      </c>
      <c r="F420" s="10">
        <f>_XLL.VOSEOUTPUT(Model!B420,,"Bacteria in bottle",407)+IF(SUM($F$14:F419)&gt;=n,0,E420)</f>
        <v>0</v>
      </c>
    </row>
    <row r="421" spans="2:6" ht="12.75" hidden="1">
      <c r="B421" s="9">
        <v>408</v>
      </c>
      <c r="C421" s="21">
        <f>IF(n-SUM($F$14:F420)=0,999,n-SUM($F$14:F420))</f>
        <v>36</v>
      </c>
      <c r="D421" s="24">
        <f t="shared" si="6"/>
        <v>0.010752688172043012</v>
      </c>
      <c r="E421" s="29">
        <f>_XLL.VOSEBINOMIAL(C421,D421)</f>
        <v>1</v>
      </c>
      <c r="F421" s="10">
        <f>_XLL.VOSEOUTPUT(Model!B421,,"Bacteria in bottle",408)+IF(SUM($F$14:F420)&gt;=n,0,E421)</f>
        <v>1</v>
      </c>
    </row>
    <row r="422" spans="2:6" ht="12.75" hidden="1">
      <c r="B422" s="9">
        <v>409</v>
      </c>
      <c r="C422" s="21">
        <f>IF(n-SUM($F$14:F421)=0,999,n-SUM($F$14:F421))</f>
        <v>35</v>
      </c>
      <c r="D422" s="24">
        <f t="shared" si="6"/>
        <v>0.010869565217391304</v>
      </c>
      <c r="E422" s="29">
        <f>_XLL.VOSEBINOMIAL(C422,D422)</f>
        <v>1</v>
      </c>
      <c r="F422" s="10">
        <f>_XLL.VOSEOUTPUT(Model!B422,,"Bacteria in bottle",409)+IF(SUM($F$14:F421)&gt;=n,0,E422)</f>
        <v>1</v>
      </c>
    </row>
    <row r="423" spans="2:6" ht="12.75" hidden="1">
      <c r="B423" s="9">
        <v>410</v>
      </c>
      <c r="C423" s="21">
        <f>IF(n-SUM($F$14:F422)=0,999,n-SUM($F$14:F422))</f>
        <v>34</v>
      </c>
      <c r="D423" s="24">
        <f t="shared" si="6"/>
        <v>0.01098901098901099</v>
      </c>
      <c r="E423" s="29">
        <f>_XLL.VOSEBINOMIAL(C423,D423)</f>
        <v>0</v>
      </c>
      <c r="F423" s="10">
        <f>_XLL.VOSEOUTPUT(Model!B423,,"Bacteria in bottle",410)+IF(SUM($F$14:F422)&gt;=n,0,E423)</f>
        <v>0</v>
      </c>
    </row>
    <row r="424" spans="2:6" ht="12.75" hidden="1">
      <c r="B424" s="9">
        <v>411</v>
      </c>
      <c r="C424" s="21">
        <f>IF(n-SUM($F$14:F423)=0,999,n-SUM($F$14:F423))</f>
        <v>34</v>
      </c>
      <c r="D424" s="24">
        <f t="shared" si="6"/>
        <v>0.011111111111111112</v>
      </c>
      <c r="E424" s="29">
        <f>_XLL.VOSEBINOMIAL(C424,D424)</f>
        <v>0</v>
      </c>
      <c r="F424" s="10">
        <f>_XLL.VOSEOUTPUT(Model!B424,,"Bacteria in bottle",411)+IF(SUM($F$14:F423)&gt;=n,0,E424)</f>
        <v>0</v>
      </c>
    </row>
    <row r="425" spans="2:6" ht="12.75" hidden="1">
      <c r="B425" s="9">
        <v>412</v>
      </c>
      <c r="C425" s="21">
        <f>IF(n-SUM($F$14:F424)=0,999,n-SUM($F$14:F424))</f>
        <v>34</v>
      </c>
      <c r="D425" s="24">
        <f t="shared" si="6"/>
        <v>0.011235955056179775</v>
      </c>
      <c r="E425" s="29">
        <f>_XLL.VOSEBINOMIAL(C425,D425)</f>
        <v>0</v>
      </c>
      <c r="F425" s="10">
        <f>_XLL.VOSEOUTPUT(Model!B425,,"Bacteria in bottle",412)+IF(SUM($F$14:F424)&gt;=n,0,E425)</f>
        <v>0</v>
      </c>
    </row>
    <row r="426" spans="2:6" ht="12.75" hidden="1">
      <c r="B426" s="9">
        <v>413</v>
      </c>
      <c r="C426" s="21">
        <f>IF(n-SUM($F$14:F425)=0,999,n-SUM($F$14:F425))</f>
        <v>34</v>
      </c>
      <c r="D426" s="24">
        <f t="shared" si="6"/>
        <v>0.011363636363636364</v>
      </c>
      <c r="E426" s="29">
        <f>_XLL.VOSEBINOMIAL(C426,D426)</f>
        <v>0</v>
      </c>
      <c r="F426" s="10">
        <f>_XLL.VOSEOUTPUT(Model!B426,,"Bacteria in bottle",413)+IF(SUM($F$14:F425)&gt;=n,0,E426)</f>
        <v>0</v>
      </c>
    </row>
    <row r="427" spans="2:6" ht="12.75" hidden="1">
      <c r="B427" s="9">
        <v>414</v>
      </c>
      <c r="C427" s="21">
        <f>IF(n-SUM($F$14:F426)=0,999,n-SUM($F$14:F426))</f>
        <v>34</v>
      </c>
      <c r="D427" s="24">
        <f t="shared" si="6"/>
        <v>0.011494252873563218</v>
      </c>
      <c r="E427" s="29">
        <f>_XLL.VOSEBINOMIAL(C427,D427)</f>
        <v>0</v>
      </c>
      <c r="F427" s="10">
        <f>_XLL.VOSEOUTPUT(Model!B427,,"Bacteria in bottle",414)+IF(SUM($F$14:F426)&gt;=n,0,E427)</f>
        <v>0</v>
      </c>
    </row>
    <row r="428" spans="2:6" ht="12.75" hidden="1">
      <c r="B428" s="9">
        <v>415</v>
      </c>
      <c r="C428" s="21">
        <f>IF(n-SUM($F$14:F427)=0,999,n-SUM($F$14:F427))</f>
        <v>34</v>
      </c>
      <c r="D428" s="24">
        <f t="shared" si="6"/>
        <v>0.011627906976744186</v>
      </c>
      <c r="E428" s="29">
        <f>_XLL.VOSEBINOMIAL(C428,D428)</f>
        <v>0</v>
      </c>
      <c r="F428" s="10">
        <f>_XLL.VOSEOUTPUT(Model!B428,,"Bacteria in bottle",415)+IF(SUM($F$14:F427)&gt;=n,0,E428)</f>
        <v>0</v>
      </c>
    </row>
    <row r="429" spans="2:6" ht="12.75" hidden="1">
      <c r="B429" s="9">
        <v>416</v>
      </c>
      <c r="C429" s="21">
        <f>IF(n-SUM($F$14:F428)=0,999,n-SUM($F$14:F428))</f>
        <v>34</v>
      </c>
      <c r="D429" s="24">
        <f t="shared" si="6"/>
        <v>0.011764705882352941</v>
      </c>
      <c r="E429" s="29">
        <f>_XLL.VOSEBINOMIAL(C429,D429)</f>
        <v>0</v>
      </c>
      <c r="F429" s="10">
        <f>_XLL.VOSEOUTPUT(Model!B429,,"Bacteria in bottle",416)+IF(SUM($F$14:F428)&gt;=n,0,E429)</f>
        <v>0</v>
      </c>
    </row>
    <row r="430" spans="2:6" ht="12.75" hidden="1">
      <c r="B430" s="9">
        <v>417</v>
      </c>
      <c r="C430" s="21">
        <f>IF(n-SUM($F$14:F429)=0,999,n-SUM($F$14:F429))</f>
        <v>34</v>
      </c>
      <c r="D430" s="24">
        <f t="shared" si="6"/>
        <v>0.011904761904761904</v>
      </c>
      <c r="E430" s="29">
        <f>_XLL.VOSEBINOMIAL(C430,D430)</f>
        <v>0</v>
      </c>
      <c r="F430" s="10">
        <f>_XLL.VOSEOUTPUT(Model!B430,,"Bacteria in bottle",417)+IF(SUM($F$14:F429)&gt;=n,0,E430)</f>
        <v>0</v>
      </c>
    </row>
    <row r="431" spans="2:6" ht="12.75" hidden="1">
      <c r="B431" s="9">
        <v>418</v>
      </c>
      <c r="C431" s="21">
        <f>IF(n-SUM($F$14:F430)=0,999,n-SUM($F$14:F430))</f>
        <v>34</v>
      </c>
      <c r="D431" s="24">
        <f t="shared" si="6"/>
        <v>0.012048192771084338</v>
      </c>
      <c r="E431" s="29">
        <f>_XLL.VOSEBINOMIAL(C431,D431)</f>
        <v>0</v>
      </c>
      <c r="F431" s="10">
        <f>_XLL.VOSEOUTPUT(Model!B431,,"Bacteria in bottle",418)+IF(SUM($F$14:F430)&gt;=n,0,E431)</f>
        <v>0</v>
      </c>
    </row>
    <row r="432" spans="2:6" ht="12.75" hidden="1">
      <c r="B432" s="9">
        <v>419</v>
      </c>
      <c r="C432" s="21">
        <f>IF(n-SUM($F$14:F431)=0,999,n-SUM($F$14:F431))</f>
        <v>34</v>
      </c>
      <c r="D432" s="24">
        <f t="shared" si="6"/>
        <v>0.012195121951219513</v>
      </c>
      <c r="E432" s="29">
        <f>_XLL.VOSEBINOMIAL(C432,D432)</f>
        <v>1</v>
      </c>
      <c r="F432" s="10">
        <f>_XLL.VOSEOUTPUT(Model!B432,,"Bacteria in bottle",419)+IF(SUM($F$14:F431)&gt;=n,0,E432)</f>
        <v>1</v>
      </c>
    </row>
    <row r="433" spans="2:6" ht="12.75" hidden="1">
      <c r="B433" s="9">
        <v>420</v>
      </c>
      <c r="C433" s="21">
        <f>IF(n-SUM($F$14:F432)=0,999,n-SUM($F$14:F432))</f>
        <v>33</v>
      </c>
      <c r="D433" s="24">
        <f t="shared" si="6"/>
        <v>0.012345679012345678</v>
      </c>
      <c r="E433" s="29">
        <f>_XLL.VOSEBINOMIAL(C433,D433)</f>
        <v>0</v>
      </c>
      <c r="F433" s="10">
        <f>_XLL.VOSEOUTPUT(Model!B433,,"Bacteria in bottle",420)+IF(SUM($F$14:F432)&gt;=n,0,E433)</f>
        <v>0</v>
      </c>
    </row>
    <row r="434" spans="2:6" ht="12.75" hidden="1">
      <c r="B434" s="9">
        <v>421</v>
      </c>
      <c r="C434" s="21">
        <f>IF(n-SUM($F$14:F433)=0,999,n-SUM($F$14:F433))</f>
        <v>33</v>
      </c>
      <c r="D434" s="24">
        <f t="shared" si="6"/>
        <v>0.0125</v>
      </c>
      <c r="E434" s="29">
        <f>_XLL.VOSEBINOMIAL(C434,D434)</f>
        <v>0</v>
      </c>
      <c r="F434" s="10">
        <f>_XLL.VOSEOUTPUT(Model!B434,,"Bacteria in bottle",421)+IF(SUM($F$14:F433)&gt;=n,0,E434)</f>
        <v>0</v>
      </c>
    </row>
    <row r="435" spans="2:6" ht="12.75" hidden="1">
      <c r="B435" s="9">
        <v>422</v>
      </c>
      <c r="C435" s="21">
        <f>IF(n-SUM($F$14:F434)=0,999,n-SUM($F$14:F434))</f>
        <v>33</v>
      </c>
      <c r="D435" s="24">
        <f t="shared" si="6"/>
        <v>0.012658227848101266</v>
      </c>
      <c r="E435" s="29">
        <f>_XLL.VOSEBINOMIAL(C435,D435)</f>
        <v>0</v>
      </c>
      <c r="F435" s="10">
        <f>_XLL.VOSEOUTPUT(Model!B435,,"Bacteria in bottle",422)+IF(SUM($F$14:F434)&gt;=n,0,E435)</f>
        <v>0</v>
      </c>
    </row>
    <row r="436" spans="2:6" ht="12.75" hidden="1">
      <c r="B436" s="9">
        <v>423</v>
      </c>
      <c r="C436" s="21">
        <f>IF(n-SUM($F$14:F435)=0,999,n-SUM($F$14:F435))</f>
        <v>33</v>
      </c>
      <c r="D436" s="24">
        <f t="shared" si="6"/>
        <v>0.01282051282051282</v>
      </c>
      <c r="E436" s="29">
        <f>_XLL.VOSEBINOMIAL(C436,D436)</f>
        <v>0</v>
      </c>
      <c r="F436" s="10">
        <f>_XLL.VOSEOUTPUT(Model!B436,,"Bacteria in bottle",423)+IF(SUM($F$14:F435)&gt;=n,0,E436)</f>
        <v>0</v>
      </c>
    </row>
    <row r="437" spans="2:6" ht="12.75" hidden="1">
      <c r="B437" s="9">
        <v>424</v>
      </c>
      <c r="C437" s="21">
        <f>IF(n-SUM($F$14:F436)=0,999,n-SUM($F$14:F436))</f>
        <v>33</v>
      </c>
      <c r="D437" s="24">
        <f t="shared" si="6"/>
        <v>0.012987012987012988</v>
      </c>
      <c r="E437" s="29">
        <f>_XLL.VOSEBINOMIAL(C437,D437)</f>
        <v>0</v>
      </c>
      <c r="F437" s="10">
        <f>_XLL.VOSEOUTPUT(Model!B437,,"Bacteria in bottle",424)+IF(SUM($F$14:F436)&gt;=n,0,E437)</f>
        <v>0</v>
      </c>
    </row>
    <row r="438" spans="2:6" ht="12.75" hidden="1">
      <c r="B438" s="9">
        <v>425</v>
      </c>
      <c r="C438" s="21">
        <f>IF(n-SUM($F$14:F437)=0,999,n-SUM($F$14:F437))</f>
        <v>33</v>
      </c>
      <c r="D438" s="24">
        <f t="shared" si="6"/>
        <v>0.013157894736842105</v>
      </c>
      <c r="E438" s="29">
        <f>_XLL.VOSEBINOMIAL(C438,D438)</f>
        <v>1</v>
      </c>
      <c r="F438" s="10">
        <f>_XLL.VOSEOUTPUT(Model!B438,,"Bacteria in bottle",425)+IF(SUM($F$14:F437)&gt;=n,0,E438)</f>
        <v>1</v>
      </c>
    </row>
    <row r="439" spans="2:6" ht="12.75" hidden="1">
      <c r="B439" s="9">
        <v>426</v>
      </c>
      <c r="C439" s="21">
        <f>IF(n-SUM($F$14:F438)=0,999,n-SUM($F$14:F438))</f>
        <v>32</v>
      </c>
      <c r="D439" s="24">
        <f t="shared" si="6"/>
        <v>0.013333333333333334</v>
      </c>
      <c r="E439" s="29">
        <f>_XLL.VOSEBINOMIAL(C439,D439)</f>
        <v>0</v>
      </c>
      <c r="F439" s="10">
        <f>_XLL.VOSEOUTPUT(Model!B439,,"Bacteria in bottle",426)+IF(SUM($F$14:F438)&gt;=n,0,E439)</f>
        <v>0</v>
      </c>
    </row>
    <row r="440" spans="2:6" ht="12.75" hidden="1">
      <c r="B440" s="9">
        <v>427</v>
      </c>
      <c r="C440" s="21">
        <f>IF(n-SUM($F$14:F439)=0,999,n-SUM($F$14:F439))</f>
        <v>32</v>
      </c>
      <c r="D440" s="24">
        <f t="shared" si="6"/>
        <v>0.013513513513513514</v>
      </c>
      <c r="E440" s="29">
        <f>_XLL.VOSEBINOMIAL(C440,D440)</f>
        <v>0</v>
      </c>
      <c r="F440" s="10">
        <f>_XLL.VOSEOUTPUT(Model!B440,,"Bacteria in bottle",427)+IF(SUM($F$14:F439)&gt;=n,0,E440)</f>
        <v>0</v>
      </c>
    </row>
    <row r="441" spans="2:6" ht="12.75" hidden="1">
      <c r="B441" s="9">
        <v>428</v>
      </c>
      <c r="C441" s="21">
        <f>IF(n-SUM($F$14:F440)=0,999,n-SUM($F$14:F440))</f>
        <v>32</v>
      </c>
      <c r="D441" s="24">
        <f t="shared" si="6"/>
        <v>0.0136986301369863</v>
      </c>
      <c r="E441" s="29">
        <f>_XLL.VOSEBINOMIAL(C441,D441)</f>
        <v>0</v>
      </c>
      <c r="F441" s="10">
        <f>_XLL.VOSEOUTPUT(Model!B441,,"Bacteria in bottle",428)+IF(SUM($F$14:F440)&gt;=n,0,E441)</f>
        <v>0</v>
      </c>
    </row>
    <row r="442" spans="2:6" ht="12.75" hidden="1">
      <c r="B442" s="9">
        <v>429</v>
      </c>
      <c r="C442" s="21">
        <f>IF(n-SUM($F$14:F441)=0,999,n-SUM($F$14:F441))</f>
        <v>32</v>
      </c>
      <c r="D442" s="24">
        <f t="shared" si="6"/>
        <v>0.013888888888888888</v>
      </c>
      <c r="E442" s="29">
        <f>_XLL.VOSEBINOMIAL(C442,D442)</f>
        <v>2</v>
      </c>
      <c r="F442" s="10">
        <f>_XLL.VOSEOUTPUT(Model!B442,,"Bacteria in bottle",429)+IF(SUM($F$14:F441)&gt;=n,0,E442)</f>
        <v>2</v>
      </c>
    </row>
    <row r="443" spans="2:6" ht="12.75" hidden="1">
      <c r="B443" s="9">
        <v>430</v>
      </c>
      <c r="C443" s="21">
        <f>IF(n-SUM($F$14:F442)=0,999,n-SUM($F$14:F442))</f>
        <v>30</v>
      </c>
      <c r="D443" s="24">
        <f t="shared" si="6"/>
        <v>0.014084507042253521</v>
      </c>
      <c r="E443" s="29">
        <f>_XLL.VOSEBINOMIAL(C443,D443)</f>
        <v>0</v>
      </c>
      <c r="F443" s="10">
        <f>_XLL.VOSEOUTPUT(Model!B443,,"Bacteria in bottle",430)+IF(SUM($F$14:F442)&gt;=n,0,E443)</f>
        <v>0</v>
      </c>
    </row>
    <row r="444" spans="2:6" ht="12.75" hidden="1">
      <c r="B444" s="9">
        <v>431</v>
      </c>
      <c r="C444" s="21">
        <f>IF(n-SUM($F$14:F443)=0,999,n-SUM($F$14:F443))</f>
        <v>30</v>
      </c>
      <c r="D444" s="24">
        <f t="shared" si="6"/>
        <v>0.014285714285714285</v>
      </c>
      <c r="E444" s="29">
        <f>_XLL.VOSEBINOMIAL(C444,D444)</f>
        <v>0</v>
      </c>
      <c r="F444" s="10">
        <f>_XLL.VOSEOUTPUT(Model!B444,,"Bacteria in bottle",431)+IF(SUM($F$14:F443)&gt;=n,0,E444)</f>
        <v>0</v>
      </c>
    </row>
    <row r="445" spans="2:6" ht="12.75" hidden="1">
      <c r="B445" s="9">
        <v>432</v>
      </c>
      <c r="C445" s="21">
        <f>IF(n-SUM($F$14:F444)=0,999,n-SUM($F$14:F444))</f>
        <v>30</v>
      </c>
      <c r="D445" s="24">
        <f t="shared" si="6"/>
        <v>0.014492753623188406</v>
      </c>
      <c r="E445" s="29">
        <f>_XLL.VOSEBINOMIAL(C445,D445)</f>
        <v>1</v>
      </c>
      <c r="F445" s="10">
        <f>_XLL.VOSEOUTPUT(Model!B445,,"Bacteria in bottle",432)+IF(SUM($F$14:F444)&gt;=n,0,E445)</f>
        <v>1</v>
      </c>
    </row>
    <row r="446" spans="2:6" ht="12.75" hidden="1">
      <c r="B446" s="9">
        <v>433</v>
      </c>
      <c r="C446" s="21">
        <f>IF(n-SUM($F$14:F445)=0,999,n-SUM($F$14:F445))</f>
        <v>29</v>
      </c>
      <c r="D446" s="24">
        <f t="shared" si="6"/>
        <v>0.014705882352941176</v>
      </c>
      <c r="E446" s="29">
        <f>_XLL.VOSEBINOMIAL(C446,D446)</f>
        <v>1</v>
      </c>
      <c r="F446" s="10">
        <f>_XLL.VOSEOUTPUT(Model!B446,,"Bacteria in bottle",433)+IF(SUM($F$14:F445)&gt;=n,0,E446)</f>
        <v>1</v>
      </c>
    </row>
    <row r="447" spans="2:6" ht="12.75" hidden="1">
      <c r="B447" s="9">
        <v>434</v>
      </c>
      <c r="C447" s="21">
        <f>IF(n-SUM($F$14:F446)=0,999,n-SUM($F$14:F446))</f>
        <v>28</v>
      </c>
      <c r="D447" s="24">
        <f t="shared" si="6"/>
        <v>0.014925373134328358</v>
      </c>
      <c r="E447" s="29">
        <f>_XLL.VOSEBINOMIAL(C447,D447)</f>
        <v>2</v>
      </c>
      <c r="F447" s="10">
        <f>_XLL.VOSEOUTPUT(Model!B447,,"Bacteria in bottle",434)+IF(SUM($F$14:F446)&gt;=n,0,E447)</f>
        <v>2</v>
      </c>
    </row>
    <row r="448" spans="2:6" ht="12.75" hidden="1">
      <c r="B448" s="9">
        <v>435</v>
      </c>
      <c r="C448" s="21">
        <f>IF(n-SUM($F$14:F447)=0,999,n-SUM($F$14:F447))</f>
        <v>26</v>
      </c>
      <c r="D448" s="24">
        <f t="shared" si="6"/>
        <v>0.015151515151515152</v>
      </c>
      <c r="E448" s="29">
        <f>_XLL.VOSEBINOMIAL(C448,D448)</f>
        <v>0</v>
      </c>
      <c r="F448" s="10">
        <f>_XLL.VOSEOUTPUT(Model!B448,,"Bacteria in bottle",435)+IF(SUM($F$14:F447)&gt;=n,0,E448)</f>
        <v>0</v>
      </c>
    </row>
    <row r="449" spans="2:6" ht="12.75" hidden="1">
      <c r="B449" s="9">
        <v>436</v>
      </c>
      <c r="C449" s="21">
        <f>IF(n-SUM($F$14:F448)=0,999,n-SUM($F$14:F448))</f>
        <v>26</v>
      </c>
      <c r="D449" s="24">
        <f t="shared" si="6"/>
        <v>0.015384615384615385</v>
      </c>
      <c r="E449" s="29">
        <f>_XLL.VOSEBINOMIAL(C449,D449)</f>
        <v>0</v>
      </c>
      <c r="F449" s="10">
        <f>_XLL.VOSEOUTPUT(Model!B449,,"Bacteria in bottle",436)+IF(SUM($F$14:F448)&gt;=n,0,E449)</f>
        <v>0</v>
      </c>
    </row>
    <row r="450" spans="2:6" ht="12.75" hidden="1">
      <c r="B450" s="9">
        <v>437</v>
      </c>
      <c r="C450" s="21">
        <f>IF(n-SUM($F$14:F449)=0,999,n-SUM($F$14:F449))</f>
        <v>26</v>
      </c>
      <c r="D450" s="24">
        <f t="shared" si="6"/>
        <v>0.015625</v>
      </c>
      <c r="E450" s="29">
        <f>_XLL.VOSEBINOMIAL(C450,D450)</f>
        <v>0</v>
      </c>
      <c r="F450" s="10">
        <f>_XLL.VOSEOUTPUT(Model!B450,,"Bacteria in bottle",437)+IF(SUM($F$14:F449)&gt;=n,0,E450)</f>
        <v>0</v>
      </c>
    </row>
    <row r="451" spans="2:6" ht="12.75" hidden="1">
      <c r="B451" s="9">
        <v>438</v>
      </c>
      <c r="C451" s="21">
        <f>IF(n-SUM($F$14:F450)=0,999,n-SUM($F$14:F450))</f>
        <v>26</v>
      </c>
      <c r="D451" s="24">
        <f t="shared" si="6"/>
        <v>0.015873015873015872</v>
      </c>
      <c r="E451" s="29">
        <f>_XLL.VOSEBINOMIAL(C451,D451)</f>
        <v>0</v>
      </c>
      <c r="F451" s="10">
        <f>_XLL.VOSEOUTPUT(Model!B451,,"Bacteria in bottle",438)+IF(SUM($F$14:F450)&gt;=n,0,E451)</f>
        <v>0</v>
      </c>
    </row>
    <row r="452" spans="2:6" ht="12.75" hidden="1">
      <c r="B452" s="9">
        <v>439</v>
      </c>
      <c r="C452" s="21">
        <f>IF(n-SUM($F$14:F451)=0,999,n-SUM($F$14:F451))</f>
        <v>26</v>
      </c>
      <c r="D452" s="24">
        <f t="shared" si="6"/>
        <v>0.016129032258064516</v>
      </c>
      <c r="E452" s="29">
        <f>_XLL.VOSEBINOMIAL(C452,D452)</f>
        <v>0</v>
      </c>
      <c r="F452" s="10">
        <f>_XLL.VOSEOUTPUT(Model!B452,,"Bacteria in bottle",439)+IF(SUM($F$14:F451)&gt;=n,0,E452)</f>
        <v>0</v>
      </c>
    </row>
    <row r="453" spans="2:6" ht="12.75" hidden="1">
      <c r="B453" s="9">
        <v>440</v>
      </c>
      <c r="C453" s="21">
        <f>IF(n-SUM($F$14:F452)=0,999,n-SUM($F$14:F452))</f>
        <v>26</v>
      </c>
      <c r="D453" s="24">
        <f t="shared" si="6"/>
        <v>0.01639344262295082</v>
      </c>
      <c r="E453" s="29">
        <f>_XLL.VOSEBINOMIAL(C453,D453)</f>
        <v>2</v>
      </c>
      <c r="F453" s="10">
        <f>_XLL.VOSEOUTPUT(Model!B453,,"Bacteria in bottle",440)+IF(SUM($F$14:F452)&gt;=n,0,E453)</f>
        <v>2</v>
      </c>
    </row>
    <row r="454" spans="2:6" ht="12.75" hidden="1">
      <c r="B454" s="9">
        <v>441</v>
      </c>
      <c r="C454" s="21">
        <f>IF(n-SUM($F$14:F453)=0,999,n-SUM($F$14:F453))</f>
        <v>24</v>
      </c>
      <c r="D454" s="24">
        <f t="shared" si="6"/>
        <v>0.016666666666666666</v>
      </c>
      <c r="E454" s="29">
        <f>_XLL.VOSEBINOMIAL(C454,D454)</f>
        <v>1</v>
      </c>
      <c r="F454" s="10">
        <f>_XLL.VOSEOUTPUT(Model!B454,,"Bacteria in bottle",441)+IF(SUM($F$14:F453)&gt;=n,0,E454)</f>
        <v>1</v>
      </c>
    </row>
    <row r="455" spans="2:6" ht="12.75" hidden="1">
      <c r="B455" s="9">
        <v>442</v>
      </c>
      <c r="C455" s="21">
        <f>IF(n-SUM($F$14:F454)=0,999,n-SUM($F$14:F454))</f>
        <v>23</v>
      </c>
      <c r="D455" s="24">
        <f t="shared" si="6"/>
        <v>0.01694915254237288</v>
      </c>
      <c r="E455" s="29">
        <f>_XLL.VOSEBINOMIAL(C455,D455)</f>
        <v>0</v>
      </c>
      <c r="F455" s="10">
        <f>_XLL.VOSEOUTPUT(Model!B455,,"Bacteria in bottle",442)+IF(SUM($F$14:F454)&gt;=n,0,E455)</f>
        <v>0</v>
      </c>
    </row>
    <row r="456" spans="2:6" ht="12.75" hidden="1">
      <c r="B456" s="9">
        <v>443</v>
      </c>
      <c r="C456" s="21">
        <f>IF(n-SUM($F$14:F455)=0,999,n-SUM($F$14:F455))</f>
        <v>23</v>
      </c>
      <c r="D456" s="24">
        <f t="shared" si="6"/>
        <v>0.017241379310344827</v>
      </c>
      <c r="E456" s="29">
        <f>_XLL.VOSEBINOMIAL(C456,D456)</f>
        <v>1</v>
      </c>
      <c r="F456" s="10">
        <f>_XLL.VOSEOUTPUT(Model!B456,,"Bacteria in bottle",443)+IF(SUM($F$14:F455)&gt;=n,0,E456)</f>
        <v>1</v>
      </c>
    </row>
    <row r="457" spans="2:6" ht="12.75" hidden="1">
      <c r="B457" s="9">
        <v>444</v>
      </c>
      <c r="C457" s="21">
        <f>IF(n-SUM($F$14:F456)=0,999,n-SUM($F$14:F456))</f>
        <v>22</v>
      </c>
      <c r="D457" s="24">
        <f t="shared" si="6"/>
        <v>0.017543859649122806</v>
      </c>
      <c r="E457" s="29">
        <f>_XLL.VOSEBINOMIAL(C457,D457)</f>
        <v>0</v>
      </c>
      <c r="F457" s="10">
        <f>_XLL.VOSEOUTPUT(Model!B457,,"Bacteria in bottle",444)+IF(SUM($F$14:F456)&gt;=n,0,E457)</f>
        <v>0</v>
      </c>
    </row>
    <row r="458" spans="2:6" ht="12.75" hidden="1">
      <c r="B458" s="9">
        <v>445</v>
      </c>
      <c r="C458" s="21">
        <f>IF(n-SUM($F$14:F457)=0,999,n-SUM($F$14:F457))</f>
        <v>22</v>
      </c>
      <c r="D458" s="24">
        <f t="shared" si="6"/>
        <v>0.017857142857142856</v>
      </c>
      <c r="E458" s="29">
        <f>_XLL.VOSEBINOMIAL(C458,D458)</f>
        <v>0</v>
      </c>
      <c r="F458" s="10">
        <f>_XLL.VOSEOUTPUT(Model!B458,,"Bacteria in bottle",445)+IF(SUM($F$14:F457)&gt;=n,0,E458)</f>
        <v>0</v>
      </c>
    </row>
    <row r="459" spans="2:6" ht="12.75" hidden="1">
      <c r="B459" s="9">
        <v>446</v>
      </c>
      <c r="C459" s="21">
        <f>IF(n-SUM($F$14:F458)=0,999,n-SUM($F$14:F458))</f>
        <v>22</v>
      </c>
      <c r="D459" s="24">
        <f t="shared" si="6"/>
        <v>0.01818181818181818</v>
      </c>
      <c r="E459" s="29">
        <f>_XLL.VOSEBINOMIAL(C459,D459)</f>
        <v>0</v>
      </c>
      <c r="F459" s="10">
        <f>_XLL.VOSEOUTPUT(Model!B459,,"Bacteria in bottle",446)+IF(SUM($F$14:F458)&gt;=n,0,E459)</f>
        <v>0</v>
      </c>
    </row>
    <row r="460" spans="2:6" ht="12.75" hidden="1">
      <c r="B460" s="9">
        <v>447</v>
      </c>
      <c r="C460" s="21">
        <f>IF(n-SUM($F$14:F459)=0,999,n-SUM($F$14:F459))</f>
        <v>22</v>
      </c>
      <c r="D460" s="24">
        <f t="shared" si="6"/>
        <v>0.018518518518518517</v>
      </c>
      <c r="E460" s="29">
        <f>_XLL.VOSEBINOMIAL(C460,D460)</f>
        <v>0</v>
      </c>
      <c r="F460" s="10">
        <f>_XLL.VOSEOUTPUT(Model!B460,,"Bacteria in bottle",447)+IF(SUM($F$14:F459)&gt;=n,0,E460)</f>
        <v>0</v>
      </c>
    </row>
    <row r="461" spans="2:6" ht="12.75" hidden="1">
      <c r="B461" s="9">
        <v>448</v>
      </c>
      <c r="C461" s="21">
        <f>IF(n-SUM($F$14:F460)=0,999,n-SUM($F$14:F460))</f>
        <v>22</v>
      </c>
      <c r="D461" s="24">
        <f t="shared" si="6"/>
        <v>0.018867924528301886</v>
      </c>
      <c r="E461" s="29">
        <f>_XLL.VOSEBINOMIAL(C461,D461)</f>
        <v>1</v>
      </c>
      <c r="F461" s="10">
        <f>_XLL.VOSEOUTPUT(Model!B461,,"Bacteria in bottle",448)+IF(SUM($F$14:F460)&gt;=n,0,E461)</f>
        <v>1</v>
      </c>
    </row>
    <row r="462" spans="2:6" ht="12.75" hidden="1">
      <c r="B462" s="9">
        <v>449</v>
      </c>
      <c r="C462" s="21">
        <f>IF(n-SUM($F$14:F461)=0,999,n-SUM($F$14:F461))</f>
        <v>21</v>
      </c>
      <c r="D462" s="24">
        <f t="shared" si="6"/>
        <v>0.019230769230769232</v>
      </c>
      <c r="E462" s="29">
        <f>_XLL.VOSEBINOMIAL(C462,D462)</f>
        <v>2</v>
      </c>
      <c r="F462" s="10">
        <f>_XLL.VOSEOUTPUT(Model!B462,,"Bacteria in bottle",449)+IF(SUM($F$14:F461)&gt;=n,0,E462)</f>
        <v>2</v>
      </c>
    </row>
    <row r="463" spans="2:6" ht="12.75" hidden="1">
      <c r="B463" s="9">
        <v>450</v>
      </c>
      <c r="C463" s="21">
        <f>IF(n-SUM($F$14:F462)=0,999,n-SUM($F$14:F462))</f>
        <v>19</v>
      </c>
      <c r="D463" s="24">
        <f aca="true" t="shared" si="7" ref="D463:D513">B/(V-B462*B)</f>
        <v>0.0196078431372549</v>
      </c>
      <c r="E463" s="29">
        <f>_XLL.VOSEBINOMIAL(C463,D463)</f>
        <v>2</v>
      </c>
      <c r="F463" s="10">
        <f>_XLL.VOSEOUTPUT(Model!B463,,"Bacteria in bottle",450)+IF(SUM($F$14:F462)&gt;=n,0,E463)</f>
        <v>2</v>
      </c>
    </row>
    <row r="464" spans="2:6" ht="12.75" hidden="1">
      <c r="B464" s="9">
        <v>451</v>
      </c>
      <c r="C464" s="21">
        <f>IF(n-SUM($F$14:F463)=0,999,n-SUM($F$14:F463))</f>
        <v>17</v>
      </c>
      <c r="D464" s="24">
        <f t="shared" si="7"/>
        <v>0.02</v>
      </c>
      <c r="E464" s="29">
        <f>_XLL.VOSEBINOMIAL(C464,D464)</f>
        <v>0</v>
      </c>
      <c r="F464" s="10">
        <f>_XLL.VOSEOUTPUT(Model!B464,,"Bacteria in bottle",451)+IF(SUM($F$14:F463)&gt;=n,0,E464)</f>
        <v>0</v>
      </c>
    </row>
    <row r="465" spans="2:6" ht="12.75" hidden="1">
      <c r="B465" s="9">
        <v>452</v>
      </c>
      <c r="C465" s="21">
        <f>IF(n-SUM($F$14:F464)=0,999,n-SUM($F$14:F464))</f>
        <v>17</v>
      </c>
      <c r="D465" s="24">
        <f t="shared" si="7"/>
        <v>0.02040816326530612</v>
      </c>
      <c r="E465" s="29">
        <f>_XLL.VOSEBINOMIAL(C465,D465)</f>
        <v>0</v>
      </c>
      <c r="F465" s="10">
        <f>_XLL.VOSEOUTPUT(Model!B465,,"Bacteria in bottle",452)+IF(SUM($F$14:F464)&gt;=n,0,E465)</f>
        <v>0</v>
      </c>
    </row>
    <row r="466" spans="2:6" ht="12.75" hidden="1">
      <c r="B466" s="9">
        <v>453</v>
      </c>
      <c r="C466" s="21">
        <f>IF(n-SUM($F$14:F465)=0,999,n-SUM($F$14:F465))</f>
        <v>17</v>
      </c>
      <c r="D466" s="24">
        <f t="shared" si="7"/>
        <v>0.020833333333333332</v>
      </c>
      <c r="E466" s="29">
        <f>_XLL.VOSEBINOMIAL(C466,D466)</f>
        <v>0</v>
      </c>
      <c r="F466" s="10">
        <f>_XLL.VOSEOUTPUT(Model!B466,,"Bacteria in bottle",453)+IF(SUM($F$14:F465)&gt;=n,0,E466)</f>
        <v>0</v>
      </c>
    </row>
    <row r="467" spans="2:6" ht="12.75" hidden="1">
      <c r="B467" s="9">
        <v>454</v>
      </c>
      <c r="C467" s="21">
        <f>IF(n-SUM($F$14:F466)=0,999,n-SUM($F$14:F466))</f>
        <v>17</v>
      </c>
      <c r="D467" s="24">
        <f t="shared" si="7"/>
        <v>0.02127659574468085</v>
      </c>
      <c r="E467" s="29">
        <f>_XLL.VOSEBINOMIAL(C467,D467)</f>
        <v>0</v>
      </c>
      <c r="F467" s="10">
        <f>_XLL.VOSEOUTPUT(Model!B467,,"Bacteria in bottle",454)+IF(SUM($F$14:F466)&gt;=n,0,E467)</f>
        <v>0</v>
      </c>
    </row>
    <row r="468" spans="2:6" ht="12.75" hidden="1">
      <c r="B468" s="9">
        <v>455</v>
      </c>
      <c r="C468" s="21">
        <f>IF(n-SUM($F$14:F467)=0,999,n-SUM($F$14:F467))</f>
        <v>17</v>
      </c>
      <c r="D468" s="24">
        <f t="shared" si="7"/>
        <v>0.021739130434782608</v>
      </c>
      <c r="E468" s="29">
        <f>_XLL.VOSEBINOMIAL(C468,D468)</f>
        <v>0</v>
      </c>
      <c r="F468" s="10">
        <f>_XLL.VOSEOUTPUT(Model!B468,,"Bacteria in bottle",455)+IF(SUM($F$14:F467)&gt;=n,0,E468)</f>
        <v>0</v>
      </c>
    </row>
    <row r="469" spans="2:6" ht="12.75" hidden="1">
      <c r="B469" s="9">
        <v>456</v>
      </c>
      <c r="C469" s="21">
        <f>IF(n-SUM($F$14:F468)=0,999,n-SUM($F$14:F468))</f>
        <v>17</v>
      </c>
      <c r="D469" s="24">
        <f t="shared" si="7"/>
        <v>0.022222222222222223</v>
      </c>
      <c r="E469" s="29">
        <f>_XLL.VOSEBINOMIAL(C469,D469)</f>
        <v>0</v>
      </c>
      <c r="F469" s="10">
        <f>_XLL.VOSEOUTPUT(Model!B469,,"Bacteria in bottle",456)+IF(SUM($F$14:F468)&gt;=n,0,E469)</f>
        <v>0</v>
      </c>
    </row>
    <row r="470" spans="2:6" ht="12.75" hidden="1">
      <c r="B470" s="9">
        <v>457</v>
      </c>
      <c r="C470" s="21">
        <f>IF(n-SUM($F$14:F469)=0,999,n-SUM($F$14:F469))</f>
        <v>17</v>
      </c>
      <c r="D470" s="24">
        <f t="shared" si="7"/>
        <v>0.022727272727272728</v>
      </c>
      <c r="E470" s="29">
        <f>_XLL.VOSEBINOMIAL(C470,D470)</f>
        <v>2</v>
      </c>
      <c r="F470" s="10">
        <f>_XLL.VOSEOUTPUT(Model!B470,,"Bacteria in bottle",457)+IF(SUM($F$14:F469)&gt;=n,0,E470)</f>
        <v>2</v>
      </c>
    </row>
    <row r="471" spans="2:6" ht="12.75" hidden="1">
      <c r="B471" s="9">
        <v>458</v>
      </c>
      <c r="C471" s="21">
        <f>IF(n-SUM($F$14:F470)=0,999,n-SUM($F$14:F470))</f>
        <v>15</v>
      </c>
      <c r="D471" s="24">
        <f t="shared" si="7"/>
        <v>0.023255813953488372</v>
      </c>
      <c r="E471" s="29">
        <f>_XLL.VOSEBINOMIAL(C471,D471)</f>
        <v>0</v>
      </c>
      <c r="F471" s="10">
        <f>_XLL.VOSEOUTPUT(Model!B471,,"Bacteria in bottle",458)+IF(SUM($F$14:F470)&gt;=n,0,E471)</f>
        <v>0</v>
      </c>
    </row>
    <row r="472" spans="2:6" ht="12.75" hidden="1">
      <c r="B472" s="9">
        <v>459</v>
      </c>
      <c r="C472" s="21">
        <f>IF(n-SUM($F$14:F471)=0,999,n-SUM($F$14:F471))</f>
        <v>15</v>
      </c>
      <c r="D472" s="24">
        <f t="shared" si="7"/>
        <v>0.023809523809523808</v>
      </c>
      <c r="E472" s="29">
        <f>_XLL.VOSEBINOMIAL(C472,D472)</f>
        <v>0</v>
      </c>
      <c r="F472" s="10">
        <f>_XLL.VOSEOUTPUT(Model!B472,,"Bacteria in bottle",459)+IF(SUM($F$14:F471)&gt;=n,0,E472)</f>
        <v>0</v>
      </c>
    </row>
    <row r="473" spans="2:6" ht="12.75" hidden="1">
      <c r="B473" s="9">
        <v>460</v>
      </c>
      <c r="C473" s="21">
        <f>IF(n-SUM($F$14:F472)=0,999,n-SUM($F$14:F472))</f>
        <v>15</v>
      </c>
      <c r="D473" s="24">
        <f t="shared" si="7"/>
        <v>0.024390243902439025</v>
      </c>
      <c r="E473" s="29">
        <f>_XLL.VOSEBINOMIAL(C473,D473)</f>
        <v>0</v>
      </c>
      <c r="F473" s="10">
        <f>_XLL.VOSEOUTPUT(Model!B473,,"Bacteria in bottle",460)+IF(SUM($F$14:F472)&gt;=n,0,E473)</f>
        <v>0</v>
      </c>
    </row>
    <row r="474" spans="2:6" ht="12.75" hidden="1">
      <c r="B474" s="9">
        <v>461</v>
      </c>
      <c r="C474" s="21">
        <f>IF(n-SUM($F$14:F473)=0,999,n-SUM($F$14:F473))</f>
        <v>15</v>
      </c>
      <c r="D474" s="24">
        <f t="shared" si="7"/>
        <v>0.025</v>
      </c>
      <c r="E474" s="29">
        <f>_XLL.VOSEBINOMIAL(C474,D474)</f>
        <v>0</v>
      </c>
      <c r="F474" s="10">
        <f>_XLL.VOSEOUTPUT(Model!B474,,"Bacteria in bottle",461)+IF(SUM($F$14:F473)&gt;=n,0,E474)</f>
        <v>0</v>
      </c>
    </row>
    <row r="475" spans="2:6" ht="12.75" hidden="1">
      <c r="B475" s="9">
        <v>462</v>
      </c>
      <c r="C475" s="21">
        <f>IF(n-SUM($F$14:F474)=0,999,n-SUM($F$14:F474))</f>
        <v>15</v>
      </c>
      <c r="D475" s="24">
        <f t="shared" si="7"/>
        <v>0.02564102564102564</v>
      </c>
      <c r="E475" s="29">
        <f>_XLL.VOSEBINOMIAL(C475,D475)</f>
        <v>0</v>
      </c>
      <c r="F475" s="10">
        <f>_XLL.VOSEOUTPUT(Model!B475,,"Bacteria in bottle",462)+IF(SUM($F$14:F474)&gt;=n,0,E475)</f>
        <v>0</v>
      </c>
    </row>
    <row r="476" spans="2:6" ht="12.75" hidden="1">
      <c r="B476" s="9">
        <v>463</v>
      </c>
      <c r="C476" s="21">
        <f>IF(n-SUM($F$14:F475)=0,999,n-SUM($F$14:F475))</f>
        <v>15</v>
      </c>
      <c r="D476" s="24">
        <f t="shared" si="7"/>
        <v>0.02631578947368421</v>
      </c>
      <c r="E476" s="29">
        <f>_XLL.VOSEBINOMIAL(C476,D476)</f>
        <v>1</v>
      </c>
      <c r="F476" s="10">
        <f>_XLL.VOSEOUTPUT(Model!B476,,"Bacteria in bottle",463)+IF(SUM($F$14:F475)&gt;=n,0,E476)</f>
        <v>1</v>
      </c>
    </row>
    <row r="477" spans="2:6" ht="12.75" hidden="1">
      <c r="B477" s="9">
        <v>464</v>
      </c>
      <c r="C477" s="21">
        <f>IF(n-SUM($F$14:F476)=0,999,n-SUM($F$14:F476))</f>
        <v>14</v>
      </c>
      <c r="D477" s="24">
        <f t="shared" si="7"/>
        <v>0.02702702702702703</v>
      </c>
      <c r="E477" s="29">
        <f>_XLL.VOSEBINOMIAL(C477,D477)</f>
        <v>1</v>
      </c>
      <c r="F477" s="10">
        <f>_XLL.VOSEOUTPUT(Model!B477,,"Bacteria in bottle",464)+IF(SUM($F$14:F476)&gt;=n,0,E477)</f>
        <v>1</v>
      </c>
    </row>
    <row r="478" spans="2:6" ht="12.75" hidden="1">
      <c r="B478" s="9">
        <v>465</v>
      </c>
      <c r="C478" s="21">
        <f>IF(n-SUM($F$14:F477)=0,999,n-SUM($F$14:F477))</f>
        <v>13</v>
      </c>
      <c r="D478" s="24">
        <f t="shared" si="7"/>
        <v>0.027777777777777776</v>
      </c>
      <c r="E478" s="29">
        <f>_XLL.VOSEBINOMIAL(C478,D478)</f>
        <v>0</v>
      </c>
      <c r="F478" s="10">
        <f>_XLL.VOSEOUTPUT(Model!B478,,"Bacteria in bottle",465)+IF(SUM($F$14:F477)&gt;=n,0,E478)</f>
        <v>0</v>
      </c>
    </row>
    <row r="479" spans="2:6" ht="12.75" hidden="1">
      <c r="B479" s="9">
        <v>466</v>
      </c>
      <c r="C479" s="21">
        <f>IF(n-SUM($F$14:F478)=0,999,n-SUM($F$14:F478))</f>
        <v>13</v>
      </c>
      <c r="D479" s="24">
        <f t="shared" si="7"/>
        <v>0.02857142857142857</v>
      </c>
      <c r="E479" s="29">
        <f>_XLL.VOSEBINOMIAL(C479,D479)</f>
        <v>0</v>
      </c>
      <c r="F479" s="10">
        <f>_XLL.VOSEOUTPUT(Model!B479,,"Bacteria in bottle",466)+IF(SUM($F$14:F478)&gt;=n,0,E479)</f>
        <v>0</v>
      </c>
    </row>
    <row r="480" spans="2:6" ht="12.75" hidden="1">
      <c r="B480" s="9">
        <v>467</v>
      </c>
      <c r="C480" s="21">
        <f>IF(n-SUM($F$14:F479)=0,999,n-SUM($F$14:F479))</f>
        <v>13</v>
      </c>
      <c r="D480" s="24">
        <f t="shared" si="7"/>
        <v>0.029411764705882353</v>
      </c>
      <c r="E480" s="29">
        <f>_XLL.VOSEBINOMIAL(C480,D480)</f>
        <v>0</v>
      </c>
      <c r="F480" s="10">
        <f>_XLL.VOSEOUTPUT(Model!B480,,"Bacteria in bottle",467)+IF(SUM($F$14:F479)&gt;=n,0,E480)</f>
        <v>0</v>
      </c>
    </row>
    <row r="481" spans="2:6" ht="12.75" hidden="1">
      <c r="B481" s="9">
        <v>468</v>
      </c>
      <c r="C481" s="21">
        <f>IF(n-SUM($F$14:F480)=0,999,n-SUM($F$14:F480))</f>
        <v>13</v>
      </c>
      <c r="D481" s="24">
        <f t="shared" si="7"/>
        <v>0.030303030303030304</v>
      </c>
      <c r="E481" s="29">
        <f>_XLL.VOSEBINOMIAL(C481,D481)</f>
        <v>0</v>
      </c>
      <c r="F481" s="10">
        <f>_XLL.VOSEOUTPUT(Model!B481,,"Bacteria in bottle",468)+IF(SUM($F$14:F480)&gt;=n,0,E481)</f>
        <v>0</v>
      </c>
    </row>
    <row r="482" spans="2:6" ht="12.75" hidden="1">
      <c r="B482" s="9">
        <v>469</v>
      </c>
      <c r="C482" s="21">
        <f>IF(n-SUM($F$14:F481)=0,999,n-SUM($F$14:F481))</f>
        <v>13</v>
      </c>
      <c r="D482" s="24">
        <f t="shared" si="7"/>
        <v>0.03125</v>
      </c>
      <c r="E482" s="29">
        <f>_XLL.VOSEBINOMIAL(C482,D482)</f>
        <v>0</v>
      </c>
      <c r="F482" s="10">
        <f>_XLL.VOSEOUTPUT(Model!B482,,"Bacteria in bottle",469)+IF(SUM($F$14:F481)&gt;=n,0,E482)</f>
        <v>0</v>
      </c>
    </row>
    <row r="483" spans="2:6" ht="12.75" hidden="1">
      <c r="B483" s="9">
        <v>470</v>
      </c>
      <c r="C483" s="21">
        <f>IF(n-SUM($F$14:F482)=0,999,n-SUM($F$14:F482))</f>
        <v>13</v>
      </c>
      <c r="D483" s="24">
        <f t="shared" si="7"/>
        <v>0.03225806451612903</v>
      </c>
      <c r="E483" s="29">
        <f>_XLL.VOSEBINOMIAL(C483,D483)</f>
        <v>0</v>
      </c>
      <c r="F483" s="10">
        <f>_XLL.VOSEOUTPUT(Model!B483,,"Bacteria in bottle",470)+IF(SUM($F$14:F482)&gt;=n,0,E483)</f>
        <v>0</v>
      </c>
    </row>
    <row r="484" spans="2:6" ht="12.75" hidden="1">
      <c r="B484" s="9">
        <v>471</v>
      </c>
      <c r="C484" s="21">
        <f>IF(n-SUM($F$14:F483)=0,999,n-SUM($F$14:F483))</f>
        <v>13</v>
      </c>
      <c r="D484" s="24">
        <f t="shared" si="7"/>
        <v>0.03333333333333333</v>
      </c>
      <c r="E484" s="29">
        <f>_XLL.VOSEBINOMIAL(C484,D484)</f>
        <v>1</v>
      </c>
      <c r="F484" s="10">
        <f>_XLL.VOSEOUTPUT(Model!B484,,"Bacteria in bottle",471)+IF(SUM($F$14:F483)&gt;=n,0,E484)</f>
        <v>1</v>
      </c>
    </row>
    <row r="485" spans="2:6" ht="12.75" hidden="1">
      <c r="B485" s="9">
        <v>472</v>
      </c>
      <c r="C485" s="21">
        <f>IF(n-SUM($F$14:F484)=0,999,n-SUM($F$14:F484))</f>
        <v>12</v>
      </c>
      <c r="D485" s="24">
        <f t="shared" si="7"/>
        <v>0.034482758620689655</v>
      </c>
      <c r="E485" s="29">
        <f>_XLL.VOSEBINOMIAL(C485,D485)</f>
        <v>0</v>
      </c>
      <c r="F485" s="10">
        <f>_XLL.VOSEOUTPUT(Model!B485,,"Bacteria in bottle",472)+IF(SUM($F$14:F484)&gt;=n,0,E485)</f>
        <v>0</v>
      </c>
    </row>
    <row r="486" spans="2:6" ht="12.75" hidden="1">
      <c r="B486" s="9">
        <v>473</v>
      </c>
      <c r="C486" s="21">
        <f>IF(n-SUM($F$14:F485)=0,999,n-SUM($F$14:F485))</f>
        <v>12</v>
      </c>
      <c r="D486" s="24">
        <f t="shared" si="7"/>
        <v>0.03571428571428571</v>
      </c>
      <c r="E486" s="29">
        <f>_XLL.VOSEBINOMIAL(C486,D486)</f>
        <v>0</v>
      </c>
      <c r="F486" s="10">
        <f>_XLL.VOSEOUTPUT(Model!B486,,"Bacteria in bottle",473)+IF(SUM($F$14:F485)&gt;=n,0,E486)</f>
        <v>0</v>
      </c>
    </row>
    <row r="487" spans="2:6" ht="12.75" hidden="1">
      <c r="B487" s="9">
        <v>474</v>
      </c>
      <c r="C487" s="21">
        <f>IF(n-SUM($F$14:F486)=0,999,n-SUM($F$14:F486))</f>
        <v>12</v>
      </c>
      <c r="D487" s="24">
        <f t="shared" si="7"/>
        <v>0.037037037037037035</v>
      </c>
      <c r="E487" s="29">
        <f>_XLL.VOSEBINOMIAL(C487,D487)</f>
        <v>0</v>
      </c>
      <c r="F487" s="10">
        <f>_XLL.VOSEOUTPUT(Model!B487,,"Bacteria in bottle",474)+IF(SUM($F$14:F486)&gt;=n,0,E487)</f>
        <v>0</v>
      </c>
    </row>
    <row r="488" spans="2:6" ht="12.75" hidden="1">
      <c r="B488" s="9">
        <v>475</v>
      </c>
      <c r="C488" s="21">
        <f>IF(n-SUM($F$14:F487)=0,999,n-SUM($F$14:F487))</f>
        <v>12</v>
      </c>
      <c r="D488" s="24">
        <f t="shared" si="7"/>
        <v>0.038461538461538464</v>
      </c>
      <c r="E488" s="29">
        <f>_XLL.VOSEBINOMIAL(C488,D488)</f>
        <v>0</v>
      </c>
      <c r="F488" s="10">
        <f>_XLL.VOSEOUTPUT(Model!B488,,"Bacteria in bottle",475)+IF(SUM($F$14:F487)&gt;=n,0,E488)</f>
        <v>0</v>
      </c>
    </row>
    <row r="489" spans="2:6" ht="12.75" hidden="1">
      <c r="B489" s="9">
        <v>476</v>
      </c>
      <c r="C489" s="21">
        <f>IF(n-SUM($F$14:F488)=0,999,n-SUM($F$14:F488))</f>
        <v>12</v>
      </c>
      <c r="D489" s="24">
        <f t="shared" si="7"/>
        <v>0.04</v>
      </c>
      <c r="E489" s="29">
        <f>_XLL.VOSEBINOMIAL(C489,D489)</f>
        <v>1</v>
      </c>
      <c r="F489" s="10">
        <f>_XLL.VOSEOUTPUT(Model!B489,,"Bacteria in bottle",476)+IF(SUM($F$14:F488)&gt;=n,0,E489)</f>
        <v>1</v>
      </c>
    </row>
    <row r="490" spans="2:6" ht="12.75" hidden="1">
      <c r="B490" s="9">
        <v>477</v>
      </c>
      <c r="C490" s="21">
        <f>IF(n-SUM($F$14:F489)=0,999,n-SUM($F$14:F489))</f>
        <v>11</v>
      </c>
      <c r="D490" s="24">
        <f t="shared" si="7"/>
        <v>0.041666666666666664</v>
      </c>
      <c r="E490" s="29">
        <f>_XLL.VOSEBINOMIAL(C490,D490)</f>
        <v>1</v>
      </c>
      <c r="F490" s="10">
        <f>_XLL.VOSEOUTPUT(Model!B490,,"Bacteria in bottle",477)+IF(SUM($F$14:F489)&gt;=n,0,E490)</f>
        <v>1</v>
      </c>
    </row>
    <row r="491" spans="2:6" ht="12.75" hidden="1">
      <c r="B491" s="9">
        <v>478</v>
      </c>
      <c r="C491" s="21">
        <f>IF(n-SUM($F$14:F490)=0,999,n-SUM($F$14:F490))</f>
        <v>10</v>
      </c>
      <c r="D491" s="24">
        <f t="shared" si="7"/>
        <v>0.043478260869565216</v>
      </c>
      <c r="E491" s="29">
        <f>_XLL.VOSEBINOMIAL(C491,D491)</f>
        <v>0</v>
      </c>
      <c r="F491" s="10">
        <f>_XLL.VOSEOUTPUT(Model!B491,,"Bacteria in bottle",478)+IF(SUM($F$14:F490)&gt;=n,0,E491)</f>
        <v>0</v>
      </c>
    </row>
    <row r="492" spans="2:6" ht="12.75" hidden="1">
      <c r="B492" s="9">
        <v>479</v>
      </c>
      <c r="C492" s="21">
        <f>IF(n-SUM($F$14:F491)=0,999,n-SUM($F$14:F491))</f>
        <v>10</v>
      </c>
      <c r="D492" s="24">
        <f t="shared" si="7"/>
        <v>0.045454545454545456</v>
      </c>
      <c r="E492" s="29">
        <f>_XLL.VOSEBINOMIAL(C492,D492)</f>
        <v>0</v>
      </c>
      <c r="F492" s="10">
        <f>_XLL.VOSEOUTPUT(Model!B492,,"Bacteria in bottle",479)+IF(SUM($F$14:F491)&gt;=n,0,E492)</f>
        <v>0</v>
      </c>
    </row>
    <row r="493" spans="2:6" ht="12.75" hidden="1">
      <c r="B493" s="9">
        <v>480</v>
      </c>
      <c r="C493" s="21">
        <f>IF(n-SUM($F$14:F492)=0,999,n-SUM($F$14:F492))</f>
        <v>10</v>
      </c>
      <c r="D493" s="24">
        <f t="shared" si="7"/>
        <v>0.047619047619047616</v>
      </c>
      <c r="E493" s="29">
        <f>_XLL.VOSEBINOMIAL(C493,D493)</f>
        <v>1</v>
      </c>
      <c r="F493" s="10">
        <f>_XLL.VOSEOUTPUT(Model!B493,,"Bacteria in bottle",480)+IF(SUM($F$14:F492)&gt;=n,0,E493)</f>
        <v>1</v>
      </c>
    </row>
    <row r="494" spans="2:6" ht="12.75" hidden="1">
      <c r="B494" s="9">
        <v>481</v>
      </c>
      <c r="C494" s="21">
        <f>IF(n-SUM($F$14:F493)=0,999,n-SUM($F$14:F493))</f>
        <v>9</v>
      </c>
      <c r="D494" s="24">
        <f t="shared" si="7"/>
        <v>0.05</v>
      </c>
      <c r="E494" s="29">
        <f>_XLL.VOSEBINOMIAL(C494,D494)</f>
        <v>0</v>
      </c>
      <c r="F494" s="10">
        <f>_XLL.VOSEOUTPUT(Model!B494,,"Bacteria in bottle",481)+IF(SUM($F$14:F493)&gt;=n,0,E494)</f>
        <v>0</v>
      </c>
    </row>
    <row r="495" spans="2:6" ht="12.75" hidden="1">
      <c r="B495" s="9">
        <v>482</v>
      </c>
      <c r="C495" s="21">
        <f>IF(n-SUM($F$14:F494)=0,999,n-SUM($F$14:F494))</f>
        <v>9</v>
      </c>
      <c r="D495" s="24">
        <f t="shared" si="7"/>
        <v>0.05263157894736842</v>
      </c>
      <c r="E495" s="29">
        <f>_XLL.VOSEBINOMIAL(C495,D495)</f>
        <v>0</v>
      </c>
      <c r="F495" s="10">
        <f>_XLL.VOSEOUTPUT(Model!B495,,"Bacteria in bottle",482)+IF(SUM($F$14:F494)&gt;=n,0,E495)</f>
        <v>0</v>
      </c>
    </row>
    <row r="496" spans="2:6" ht="12.75" hidden="1">
      <c r="B496" s="9">
        <v>483</v>
      </c>
      <c r="C496" s="21">
        <f>IF(n-SUM($F$14:F495)=0,999,n-SUM($F$14:F495))</f>
        <v>9</v>
      </c>
      <c r="D496" s="24">
        <f t="shared" si="7"/>
        <v>0.05555555555555555</v>
      </c>
      <c r="E496" s="29">
        <f>_XLL.VOSEBINOMIAL(C496,D496)</f>
        <v>0</v>
      </c>
      <c r="F496" s="10">
        <f>_XLL.VOSEOUTPUT(Model!B496,,"Bacteria in bottle",483)+IF(SUM($F$14:F495)&gt;=n,0,E496)</f>
        <v>0</v>
      </c>
    </row>
    <row r="497" spans="2:6" ht="12.75" hidden="1">
      <c r="B497" s="9">
        <v>484</v>
      </c>
      <c r="C497" s="21">
        <f>IF(n-SUM($F$14:F496)=0,999,n-SUM($F$14:F496))</f>
        <v>9</v>
      </c>
      <c r="D497" s="24">
        <f t="shared" si="7"/>
        <v>0.058823529411764705</v>
      </c>
      <c r="E497" s="29">
        <f>_XLL.VOSEBINOMIAL(C497,D497)</f>
        <v>0</v>
      </c>
      <c r="F497" s="10">
        <f>_XLL.VOSEOUTPUT(Model!B497,,"Bacteria in bottle",484)+IF(SUM($F$14:F496)&gt;=n,0,E497)</f>
        <v>0</v>
      </c>
    </row>
    <row r="498" spans="2:6" ht="12.75" hidden="1">
      <c r="B498" s="9">
        <v>485</v>
      </c>
      <c r="C498" s="21">
        <f>IF(n-SUM($F$14:F497)=0,999,n-SUM($F$14:F497))</f>
        <v>9</v>
      </c>
      <c r="D498" s="24">
        <f t="shared" si="7"/>
        <v>0.0625</v>
      </c>
      <c r="E498" s="29">
        <f>_XLL.VOSEBINOMIAL(C498,D498)</f>
        <v>0</v>
      </c>
      <c r="F498" s="10">
        <f>_XLL.VOSEOUTPUT(Model!B498,,"Bacteria in bottle",485)+IF(SUM($F$14:F497)&gt;=n,0,E498)</f>
        <v>0</v>
      </c>
    </row>
    <row r="499" spans="2:6" ht="12.75" hidden="1">
      <c r="B499" s="9">
        <v>486</v>
      </c>
      <c r="C499" s="21">
        <f>IF(n-SUM($F$14:F498)=0,999,n-SUM($F$14:F498))</f>
        <v>9</v>
      </c>
      <c r="D499" s="24">
        <f t="shared" si="7"/>
        <v>0.06666666666666667</v>
      </c>
      <c r="E499" s="29">
        <f>_XLL.VOSEBINOMIAL(C499,D499)</f>
        <v>0</v>
      </c>
      <c r="F499" s="10">
        <f>_XLL.VOSEOUTPUT(Model!B499,,"Bacteria in bottle",486)+IF(SUM($F$14:F498)&gt;=n,0,E499)</f>
        <v>0</v>
      </c>
    </row>
    <row r="500" spans="2:6" ht="12.75" hidden="1">
      <c r="B500" s="9">
        <v>487</v>
      </c>
      <c r="C500" s="21">
        <f>IF(n-SUM($F$14:F499)=0,999,n-SUM($F$14:F499))</f>
        <v>9</v>
      </c>
      <c r="D500" s="24">
        <f t="shared" si="7"/>
        <v>0.07142857142857142</v>
      </c>
      <c r="E500" s="29">
        <f>_XLL.VOSEBINOMIAL(C500,D500)</f>
        <v>0</v>
      </c>
      <c r="F500" s="10">
        <f>_XLL.VOSEOUTPUT(Model!B500,,"Bacteria in bottle",487)+IF(SUM($F$14:F499)&gt;=n,0,E500)</f>
        <v>0</v>
      </c>
    </row>
    <row r="501" spans="2:6" ht="12.75" hidden="1">
      <c r="B501" s="9">
        <v>488</v>
      </c>
      <c r="C501" s="21">
        <f>IF(n-SUM($F$14:F500)=0,999,n-SUM($F$14:F500))</f>
        <v>9</v>
      </c>
      <c r="D501" s="24">
        <f t="shared" si="7"/>
        <v>0.07692307692307693</v>
      </c>
      <c r="E501" s="29">
        <f>_XLL.VOSEBINOMIAL(C501,D501)</f>
        <v>1</v>
      </c>
      <c r="F501" s="10">
        <f>_XLL.VOSEOUTPUT(Model!B501,,"Bacteria in bottle",488)+IF(SUM($F$14:F500)&gt;=n,0,E501)</f>
        <v>1</v>
      </c>
    </row>
    <row r="502" spans="2:6" ht="12.75" hidden="1">
      <c r="B502" s="9">
        <v>489</v>
      </c>
      <c r="C502" s="21">
        <f>IF(n-SUM($F$14:F501)=0,999,n-SUM($F$14:F501))</f>
        <v>8</v>
      </c>
      <c r="D502" s="24">
        <f t="shared" si="7"/>
        <v>0.08333333333333333</v>
      </c>
      <c r="E502" s="29">
        <f>_XLL.VOSEBINOMIAL(C502,D502)</f>
        <v>0</v>
      </c>
      <c r="F502" s="10">
        <f>_XLL.VOSEOUTPUT(Model!B502,,"Bacteria in bottle",489)+IF(SUM($F$14:F501)&gt;=n,0,E502)</f>
        <v>0</v>
      </c>
    </row>
    <row r="503" spans="2:6" ht="12.75" hidden="1">
      <c r="B503" s="9">
        <v>490</v>
      </c>
      <c r="C503" s="21">
        <f>IF(n-SUM($F$14:F502)=0,999,n-SUM($F$14:F502))</f>
        <v>8</v>
      </c>
      <c r="D503" s="24">
        <f t="shared" si="7"/>
        <v>0.09090909090909091</v>
      </c>
      <c r="E503" s="29">
        <f>_XLL.VOSEBINOMIAL(C503,D503)</f>
        <v>0</v>
      </c>
      <c r="F503" s="10">
        <f>_XLL.VOSEOUTPUT(Model!B503,,"Bacteria in bottle",490)+IF(SUM($F$14:F502)&gt;=n,0,E503)</f>
        <v>0</v>
      </c>
    </row>
    <row r="504" spans="2:6" ht="12.75" hidden="1">
      <c r="B504" s="9">
        <v>491</v>
      </c>
      <c r="C504" s="21">
        <f>IF(n-SUM($F$14:F503)=0,999,n-SUM($F$14:F503))</f>
        <v>8</v>
      </c>
      <c r="D504" s="24">
        <f t="shared" si="7"/>
        <v>0.1</v>
      </c>
      <c r="E504" s="29">
        <f>_XLL.VOSEBINOMIAL(C504,D504)</f>
        <v>2</v>
      </c>
      <c r="F504" s="10">
        <f>_XLL.VOSEOUTPUT(Model!B504,,"Bacteria in bottle",491)+IF(SUM($F$14:F503)&gt;=n,0,E504)</f>
        <v>2</v>
      </c>
    </row>
    <row r="505" spans="2:6" ht="12.75" hidden="1">
      <c r="B505" s="9">
        <v>492</v>
      </c>
      <c r="C505" s="21">
        <f>IF(n-SUM($F$14:F504)=0,999,n-SUM($F$14:F504))</f>
        <v>6</v>
      </c>
      <c r="D505" s="24">
        <f t="shared" si="7"/>
        <v>0.1111111111111111</v>
      </c>
      <c r="E505" s="29">
        <f>_XLL.VOSEBINOMIAL(C505,D505)</f>
        <v>1</v>
      </c>
      <c r="F505" s="10">
        <f>_XLL.VOSEOUTPUT(Model!B505,,"Bacteria in bottle",492)+IF(SUM($F$14:F504)&gt;=n,0,E505)</f>
        <v>1</v>
      </c>
    </row>
    <row r="506" spans="2:6" ht="12.75" hidden="1">
      <c r="B506" s="9">
        <v>493</v>
      </c>
      <c r="C506" s="21">
        <f>IF(n-SUM($F$14:F505)=0,999,n-SUM($F$14:F505))</f>
        <v>5</v>
      </c>
      <c r="D506" s="24">
        <f t="shared" si="7"/>
        <v>0.125</v>
      </c>
      <c r="E506" s="29">
        <f>_XLL.VOSEBINOMIAL(C506,D506)</f>
        <v>0</v>
      </c>
      <c r="F506" s="10">
        <f>_XLL.VOSEOUTPUT(Model!B506,,"Bacteria in bottle",493)+IF(SUM($F$14:F505)&gt;=n,0,E506)</f>
        <v>0</v>
      </c>
    </row>
    <row r="507" spans="2:6" ht="12.75" hidden="1">
      <c r="B507" s="9">
        <v>494</v>
      </c>
      <c r="C507" s="21">
        <f>IF(n-SUM($F$14:F506)=0,999,n-SUM($F$14:F506))</f>
        <v>5</v>
      </c>
      <c r="D507" s="24">
        <f t="shared" si="7"/>
        <v>0.14285714285714285</v>
      </c>
      <c r="E507" s="29">
        <f>_XLL.VOSEBINOMIAL(C507,D507)</f>
        <v>2</v>
      </c>
      <c r="F507" s="10">
        <f>_XLL.VOSEOUTPUT(Model!B507,,"Bacteria in bottle",494)+IF(SUM($F$14:F506)&gt;=n,0,E507)</f>
        <v>2</v>
      </c>
    </row>
    <row r="508" spans="2:6" ht="12.75" hidden="1">
      <c r="B508" s="9">
        <v>495</v>
      </c>
      <c r="C508" s="21">
        <f>IF(n-SUM($F$14:F507)=0,999,n-SUM($F$14:F507))</f>
        <v>3</v>
      </c>
      <c r="D508" s="24">
        <f t="shared" si="7"/>
        <v>0.16666666666666666</v>
      </c>
      <c r="E508" s="29">
        <f>_XLL.VOSEBINOMIAL(C508,D508)</f>
        <v>1</v>
      </c>
      <c r="F508" s="10">
        <f>_XLL.VOSEOUTPUT(Model!B508,,"Bacteria in bottle",495)+IF(SUM($F$14:F507)&gt;=n,0,E508)</f>
        <v>1</v>
      </c>
    </row>
    <row r="509" spans="2:6" ht="12.75">
      <c r="B509" s="9">
        <v>496</v>
      </c>
      <c r="C509" s="21">
        <f>IF(n-SUM($F$14:F508)=0,999,n-SUM($F$14:F508))</f>
        <v>2</v>
      </c>
      <c r="D509" s="24">
        <f t="shared" si="7"/>
        <v>0.2</v>
      </c>
      <c r="E509" s="29">
        <f>_XLL.VOSEBINOMIAL(C509,D509)</f>
        <v>0</v>
      </c>
      <c r="F509" s="10">
        <f>_XLL.VOSEOUTPUT(Model!B509,,"Bacteria in bottle",496)+IF(SUM($F$14:F508)&gt;=n,0,E509)</f>
        <v>0</v>
      </c>
    </row>
    <row r="510" spans="2:6" ht="12.75">
      <c r="B510" s="9">
        <v>497</v>
      </c>
      <c r="C510" s="21">
        <f>IF(n-SUM($F$14:F509)=0,999,n-SUM($F$14:F509))</f>
        <v>2</v>
      </c>
      <c r="D510" s="24">
        <f t="shared" si="7"/>
        <v>0.25</v>
      </c>
      <c r="E510" s="29">
        <f>_XLL.VOSEBINOMIAL(C510,D510)</f>
        <v>0</v>
      </c>
      <c r="F510" s="10">
        <f>_XLL.VOSEOUTPUT(Model!B510,,"Bacteria in bottle",497)+IF(SUM($F$14:F509)&gt;=n,0,E510)</f>
        <v>0</v>
      </c>
    </row>
    <row r="511" spans="2:6" ht="12.75">
      <c r="B511" s="9">
        <v>498</v>
      </c>
      <c r="C511" s="21">
        <f>IF(n-SUM($F$14:F510)=0,999,n-SUM($F$14:F510))</f>
        <v>2</v>
      </c>
      <c r="D511" s="24">
        <f t="shared" si="7"/>
        <v>0.3333333333333333</v>
      </c>
      <c r="E511" s="29">
        <f>_XLL.VOSEBINOMIAL(C511,D511)</f>
        <v>1</v>
      </c>
      <c r="F511" s="27">
        <f>_XLL.VOSEOUTPUT(Model!B511,,"Bacteria in bottle",498)+IF(SUM($F$14:F510)&gt;=n,0,E511)</f>
        <v>1</v>
      </c>
    </row>
    <row r="512" spans="2:6" ht="12.75">
      <c r="B512" s="9">
        <v>499</v>
      </c>
      <c r="C512" s="21">
        <f>IF(n-SUM($F$14:F511)=0,999,n-SUM($F$14:F511))</f>
        <v>1</v>
      </c>
      <c r="D512" s="24">
        <f t="shared" si="7"/>
        <v>0.5</v>
      </c>
      <c r="E512" s="29">
        <f>_XLL.VOSEBINOMIAL(C512,D512)</f>
        <v>1</v>
      </c>
      <c r="F512" s="10">
        <f>_XLL.VOSEOUTPUT(Model!B512,,"Bacteria in bottle",499)+IF(SUM($F$14:F511)&gt;=n,0,E512)</f>
        <v>1</v>
      </c>
    </row>
    <row r="513" spans="2:6" ht="13.5" thickBot="1">
      <c r="B513" s="11">
        <v>500</v>
      </c>
      <c r="C513" s="25">
        <f>IF(n-SUM($F$14:F512)=0,999,n-SUM($F$14:F512))</f>
        <v>999</v>
      </c>
      <c r="D513" s="26">
        <f t="shared" si="7"/>
        <v>1</v>
      </c>
      <c r="E513" s="20">
        <f>_XLL.VOSEBINOMIAL(C513,D513)</f>
        <v>999</v>
      </c>
      <c r="F513" s="12">
        <f>_XLL.VOSEOUTPUT(Model!B513,,"Bacteria in bottle",500)+IF(SUM($F$14:F512)&gt;=n,0,E513)</f>
        <v>0</v>
      </c>
    </row>
    <row r="514" ht="13.5" thickBot="1"/>
    <row r="515" spans="5:6" ht="13.5" thickBot="1">
      <c r="E515" s="13" t="s">
        <v>4</v>
      </c>
      <c r="F515" s="17">
        <f>SUM(F14:F513)</f>
        <v>216</v>
      </c>
    </row>
  </sheetData>
  <sheetProtection/>
  <mergeCells count="6">
    <mergeCell ref="C12:E12"/>
    <mergeCell ref="B10:C10"/>
    <mergeCell ref="B4:I5"/>
    <mergeCell ref="B7:C7"/>
    <mergeCell ref="B8:C8"/>
    <mergeCell ref="B9:C9"/>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2003-03-27T16:13:49Z</dcterms:created>
  <dcterms:modified xsi:type="dcterms:W3CDTF">2009-11-14T09:58:24Z</dcterms:modified>
  <cp:category/>
  <cp:version/>
  <cp:contentType/>
  <cp:contentStatus/>
</cp:coreProperties>
</file>